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paulo_acorinte_xmobots_com_br/Documents/Área de Trabalho/Repositorios/simulador/Resultados/field_16ha_100ha_10%_6m_0_TSP/"/>
    </mc:Choice>
  </mc:AlternateContent>
  <xr:revisionPtr revIDLastSave="557" documentId="11_AF1B9ACDE8A3221850CD134A52A9BF0A3DAF63D2" xr6:coauthVersionLast="47" xr6:coauthVersionMax="47" xr10:uidLastSave="{8490CE42-D4C0-4E51-A5BA-83A8F63FC1C4}"/>
  <bookViews>
    <workbookView xWindow="-108" yWindow="-108" windowWidth="23256" windowHeight="12576" xr2:uid="{00000000-000D-0000-FFFF-FFFF00000000}"/>
  </bookViews>
  <sheets>
    <sheet name="Resultados Geral" sheetId="33" r:id="rId1"/>
    <sheet name="RESULTADOS_18" sheetId="1" r:id="rId2"/>
    <sheet name="RESULTADOS_26" sheetId="2" r:id="rId3"/>
    <sheet name="RESULTADOS_6" sheetId="3" r:id="rId4"/>
    <sheet name="RESULTADOS_23" sheetId="4" r:id="rId5"/>
    <sheet name="RESULTADOS_4" sheetId="5" r:id="rId6"/>
    <sheet name="RESULTADOS_1" sheetId="6" r:id="rId7"/>
    <sheet name="RESULTADOS_12" sheetId="7" r:id="rId8"/>
    <sheet name="RESULTADOS_16" sheetId="8" r:id="rId9"/>
    <sheet name="RESULTADOS_20" sheetId="9" r:id="rId10"/>
    <sheet name="RESULTADOS_28" sheetId="10" r:id="rId11"/>
    <sheet name="RESULTADOS_0" sheetId="11" r:id="rId12"/>
    <sheet name="RESULTADOS_7" sheetId="12" r:id="rId13"/>
    <sheet name="RESULTADOS_19" sheetId="13" r:id="rId14"/>
    <sheet name="RESULTADOS_10" sheetId="14" r:id="rId15"/>
    <sheet name="RESULTADOS_25" sheetId="15" r:id="rId16"/>
    <sheet name="RESULTADOS_14" sheetId="16" r:id="rId17"/>
    <sheet name="RESULTADOS_21" sheetId="17" r:id="rId18"/>
    <sheet name="RESULTADOS_5" sheetId="18" r:id="rId19"/>
    <sheet name="RESULTADOS_8" sheetId="19" r:id="rId20"/>
    <sheet name="RESULTADOS_3" sheetId="20" r:id="rId21"/>
    <sheet name="RESULTADOS_15" sheetId="21" r:id="rId22"/>
    <sheet name="RESULTADOS_2" sheetId="22" r:id="rId23"/>
    <sheet name="RESULTADOS_22" sheetId="23" r:id="rId24"/>
    <sheet name="RESULTADOS_27" sheetId="24" r:id="rId25"/>
    <sheet name="RESULTADOS_11" sheetId="25" r:id="rId26"/>
    <sheet name="RESULTADOS_24" sheetId="26" r:id="rId27"/>
    <sheet name="RESULTADOS_13" sheetId="27" r:id="rId28"/>
    <sheet name="RESULTADOS_17" sheetId="28" r:id="rId29"/>
    <sheet name="RESULTADOS_9" sheetId="29" r:id="rId30"/>
    <sheet name="resultados" sheetId="30" r:id="rId31"/>
    <sheet name="gráficos" sheetId="31" r:id="rId32"/>
    <sheet name="hidden" sheetId="32" state="hidden" r:id="rId3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33" l="1"/>
  <c r="F30" i="33"/>
  <c r="D30" i="33"/>
  <c r="E30" i="33"/>
  <c r="C30" i="33"/>
  <c r="G29" i="33"/>
  <c r="F29" i="33"/>
  <c r="D29" i="33"/>
  <c r="E29" i="33"/>
  <c r="C29" i="33"/>
  <c r="G28" i="33"/>
  <c r="F28" i="33"/>
  <c r="D28" i="33"/>
  <c r="E28" i="33"/>
  <c r="C28" i="33"/>
  <c r="G27" i="33"/>
  <c r="F27" i="33"/>
  <c r="D27" i="33"/>
  <c r="E27" i="33"/>
  <c r="C27" i="33"/>
  <c r="G26" i="33"/>
  <c r="F26" i="33"/>
  <c r="D26" i="33"/>
  <c r="E26" i="33"/>
  <c r="C26" i="33"/>
  <c r="G25" i="33"/>
  <c r="F25" i="33"/>
  <c r="D25" i="33"/>
  <c r="E25" i="33"/>
  <c r="C25" i="33"/>
  <c r="G24" i="33"/>
  <c r="F24" i="33"/>
  <c r="D24" i="33"/>
  <c r="E24" i="33"/>
  <c r="C24" i="33"/>
  <c r="G23" i="33"/>
  <c r="F23" i="33"/>
  <c r="D23" i="33"/>
  <c r="E23" i="33"/>
  <c r="C23" i="33"/>
  <c r="G22" i="33"/>
  <c r="F22" i="33"/>
  <c r="D22" i="33"/>
  <c r="E22" i="33"/>
  <c r="C22" i="33"/>
  <c r="G21" i="33"/>
  <c r="F21" i="33"/>
  <c r="D21" i="33"/>
  <c r="E21" i="33"/>
  <c r="C21" i="33"/>
  <c r="G20" i="33"/>
  <c r="F20" i="33"/>
  <c r="D20" i="33"/>
  <c r="E20" i="33"/>
  <c r="C20" i="33"/>
  <c r="G19" i="33"/>
  <c r="F19" i="33"/>
  <c r="D19" i="33"/>
  <c r="E19" i="33"/>
  <c r="C19" i="33"/>
  <c r="G18" i="33"/>
  <c r="F18" i="33"/>
  <c r="D18" i="33"/>
  <c r="E18" i="33"/>
  <c r="C18" i="33"/>
  <c r="G17" i="33"/>
  <c r="F17" i="33"/>
  <c r="D17" i="33"/>
  <c r="E17" i="33"/>
  <c r="C17" i="33"/>
  <c r="G16" i="33"/>
  <c r="F16" i="33"/>
  <c r="D16" i="33"/>
  <c r="E16" i="33"/>
  <c r="C16" i="33"/>
  <c r="G15" i="33"/>
  <c r="F15" i="33"/>
  <c r="D15" i="33"/>
  <c r="E15" i="33"/>
  <c r="C15" i="33"/>
  <c r="G14" i="33"/>
  <c r="F14" i="33"/>
  <c r="D14" i="33"/>
  <c r="E14" i="33"/>
  <c r="C14" i="33"/>
  <c r="G13" i="33"/>
  <c r="F13" i="33"/>
  <c r="D13" i="33"/>
  <c r="E13" i="33"/>
  <c r="C13" i="33"/>
  <c r="G12" i="33"/>
  <c r="F12" i="33"/>
  <c r="D12" i="33"/>
  <c r="E12" i="33"/>
  <c r="C12" i="33"/>
  <c r="G11" i="33"/>
  <c r="F11" i="33"/>
  <c r="D11" i="33"/>
  <c r="E11" i="33"/>
  <c r="C11" i="33"/>
  <c r="G10" i="33"/>
  <c r="F10" i="33"/>
  <c r="D10" i="33"/>
  <c r="E10" i="33"/>
  <c r="C10" i="33"/>
  <c r="G9" i="33"/>
  <c r="F9" i="33"/>
  <c r="D9" i="33"/>
  <c r="E9" i="33"/>
  <c r="C9" i="33"/>
  <c r="G8" i="33"/>
  <c r="F8" i="33"/>
  <c r="D8" i="33"/>
  <c r="E8" i="33"/>
  <c r="C8" i="33"/>
  <c r="G7" i="33"/>
  <c r="F7" i="33"/>
  <c r="D7" i="33"/>
  <c r="E7" i="33"/>
  <c r="C7" i="33"/>
  <c r="G6" i="33"/>
  <c r="F6" i="33"/>
  <c r="D6" i="33"/>
  <c r="E6" i="33"/>
  <c r="C6" i="33"/>
  <c r="G5" i="33"/>
  <c r="F5" i="33"/>
  <c r="D5" i="33"/>
  <c r="E5" i="33"/>
  <c r="C5" i="33"/>
  <c r="G4" i="33"/>
  <c r="F4" i="33"/>
  <c r="D4" i="33"/>
  <c r="E4" i="33"/>
  <c r="C4" i="33"/>
  <c r="G3" i="33"/>
  <c r="F3" i="33"/>
  <c r="D3" i="33"/>
  <c r="E3" i="33"/>
  <c r="C3" i="33"/>
  <c r="G2" i="33"/>
  <c r="F2" i="33"/>
  <c r="D2" i="33"/>
  <c r="E2" i="33"/>
  <c r="C2" i="33"/>
  <c r="C961" i="31"/>
  <c r="B961" i="31"/>
  <c r="A961" i="31"/>
  <c r="C960" i="31"/>
  <c r="B960" i="31"/>
  <c r="A960" i="31"/>
  <c r="C959" i="31"/>
  <c r="B959" i="31"/>
  <c r="A959" i="31"/>
  <c r="C958" i="31"/>
  <c r="B958" i="31"/>
  <c r="A958" i="31"/>
  <c r="C957" i="31"/>
  <c r="B957" i="31"/>
  <c r="A957" i="31"/>
  <c r="C956" i="31"/>
  <c r="B956" i="31"/>
  <c r="A956" i="31"/>
  <c r="C955" i="31"/>
  <c r="B955" i="31"/>
  <c r="A955" i="31"/>
  <c r="C954" i="31"/>
  <c r="B954" i="31"/>
  <c r="A954" i="31"/>
  <c r="C953" i="31"/>
  <c r="B953" i="31"/>
  <c r="A953" i="31"/>
  <c r="C952" i="31"/>
  <c r="B952" i="31"/>
  <c r="A952" i="31"/>
  <c r="C951" i="31"/>
  <c r="B951" i="31"/>
  <c r="A951" i="31"/>
  <c r="C950" i="31"/>
  <c r="B950" i="31"/>
  <c r="A950" i="31"/>
  <c r="C949" i="31"/>
  <c r="B949" i="31"/>
  <c r="A949" i="31"/>
  <c r="C948" i="31"/>
  <c r="B948" i="31"/>
  <c r="A948" i="31"/>
  <c r="C947" i="31"/>
  <c r="B947" i="31"/>
  <c r="A947" i="31"/>
  <c r="C946" i="31"/>
  <c r="B946" i="31"/>
  <c r="A946" i="31"/>
  <c r="C945" i="31"/>
  <c r="B945" i="31"/>
  <c r="A945" i="31"/>
  <c r="C944" i="31"/>
  <c r="B944" i="31"/>
  <c r="A944" i="31"/>
  <c r="C943" i="31"/>
  <c r="B943" i="31"/>
  <c r="A943" i="31"/>
  <c r="C942" i="31"/>
  <c r="B942" i="31"/>
  <c r="A942" i="31"/>
  <c r="C941" i="31"/>
  <c r="B941" i="31"/>
  <c r="A941" i="31"/>
  <c r="C940" i="31"/>
  <c r="B940" i="31"/>
  <c r="A940" i="31"/>
  <c r="C939" i="31"/>
  <c r="B939" i="31"/>
  <c r="A939" i="31"/>
  <c r="C938" i="31"/>
  <c r="B938" i="31"/>
  <c r="A938" i="31"/>
  <c r="C937" i="31"/>
  <c r="B937" i="31"/>
  <c r="A937" i="31"/>
  <c r="C936" i="31"/>
  <c r="B936" i="31"/>
  <c r="A936" i="31"/>
  <c r="C935" i="31"/>
  <c r="B935" i="31"/>
  <c r="A935" i="31"/>
  <c r="C934" i="31"/>
  <c r="B934" i="31"/>
  <c r="A934" i="31"/>
  <c r="C933" i="31"/>
  <c r="B933" i="31"/>
  <c r="A933" i="31"/>
  <c r="C932" i="31"/>
  <c r="B932" i="31"/>
  <c r="A932" i="31"/>
  <c r="C931" i="31"/>
  <c r="B931" i="31"/>
  <c r="A931" i="31"/>
  <c r="C930" i="31"/>
  <c r="B930" i="31"/>
  <c r="A930" i="31"/>
  <c r="C929" i="31"/>
  <c r="B929" i="31"/>
  <c r="A929" i="31"/>
  <c r="C928" i="31"/>
  <c r="B928" i="31"/>
  <c r="A928" i="31"/>
  <c r="C927" i="31"/>
  <c r="B927" i="31"/>
  <c r="A927" i="31"/>
  <c r="C926" i="31"/>
  <c r="B926" i="31"/>
  <c r="A926" i="31"/>
  <c r="C925" i="31"/>
  <c r="B925" i="31"/>
  <c r="A925" i="31"/>
  <c r="C924" i="31"/>
  <c r="B924" i="31"/>
  <c r="A924" i="31"/>
  <c r="C923" i="31"/>
  <c r="B923" i="31"/>
  <c r="A923" i="31"/>
  <c r="C922" i="31"/>
  <c r="B922" i="31"/>
  <c r="A922" i="31"/>
  <c r="C921" i="31"/>
  <c r="B921" i="31"/>
  <c r="A921" i="31"/>
  <c r="C920" i="31"/>
  <c r="B920" i="31"/>
  <c r="A920" i="31"/>
  <c r="C919" i="31"/>
  <c r="B919" i="31"/>
  <c r="A919" i="31"/>
  <c r="C918" i="31"/>
  <c r="B918" i="31"/>
  <c r="A918" i="31"/>
  <c r="C917" i="31"/>
  <c r="B917" i="31"/>
  <c r="A917" i="31"/>
  <c r="C916" i="31"/>
  <c r="B916" i="31"/>
  <c r="A916" i="31"/>
  <c r="C915" i="31"/>
  <c r="B915" i="31"/>
  <c r="A915" i="31"/>
  <c r="C914" i="31"/>
  <c r="B914" i="31"/>
  <c r="A914" i="31"/>
  <c r="C913" i="31"/>
  <c r="B913" i="31"/>
  <c r="A913" i="31"/>
  <c r="C912" i="31"/>
  <c r="B912" i="31"/>
  <c r="A912" i="31"/>
  <c r="C911" i="31"/>
  <c r="B911" i="31"/>
  <c r="A911" i="31"/>
  <c r="C910" i="31"/>
  <c r="B910" i="31"/>
  <c r="A910" i="31"/>
  <c r="C909" i="31"/>
  <c r="B909" i="31"/>
  <c r="A909" i="31"/>
  <c r="C908" i="31"/>
  <c r="B908" i="31"/>
  <c r="A908" i="31"/>
  <c r="C907" i="31"/>
  <c r="B907" i="31"/>
  <c r="A907" i="31"/>
  <c r="C906" i="31"/>
  <c r="B906" i="31"/>
  <c r="A906" i="31"/>
  <c r="C905" i="31"/>
  <c r="B905" i="31"/>
  <c r="A905" i="31"/>
  <c r="C904" i="31"/>
  <c r="B904" i="31"/>
  <c r="A904" i="31"/>
  <c r="C903" i="31"/>
  <c r="B903" i="31"/>
  <c r="A903" i="31"/>
  <c r="C902" i="31"/>
  <c r="B902" i="31"/>
  <c r="A902" i="31"/>
  <c r="C901" i="31"/>
  <c r="B901" i="31"/>
  <c r="A901" i="31"/>
  <c r="C900" i="31"/>
  <c r="B900" i="31"/>
  <c r="A900" i="31"/>
  <c r="C899" i="31"/>
  <c r="B899" i="31"/>
  <c r="A899" i="31"/>
  <c r="C898" i="31"/>
  <c r="B898" i="31"/>
  <c r="A898" i="31"/>
  <c r="C897" i="31"/>
  <c r="B897" i="31"/>
  <c r="A897" i="31"/>
  <c r="C896" i="31"/>
  <c r="B896" i="31"/>
  <c r="A896" i="31"/>
  <c r="C895" i="31"/>
  <c r="B895" i="31"/>
  <c r="A895" i="31"/>
  <c r="C894" i="31"/>
  <c r="B894" i="31"/>
  <c r="A894" i="31"/>
  <c r="C893" i="31"/>
  <c r="B893" i="31"/>
  <c r="A893" i="31"/>
  <c r="C892" i="31"/>
  <c r="B892" i="31"/>
  <c r="A892" i="31"/>
  <c r="C891" i="31"/>
  <c r="B891" i="31"/>
  <c r="A891" i="31"/>
  <c r="C890" i="31"/>
  <c r="B890" i="31"/>
  <c r="A890" i="31"/>
  <c r="C889" i="31"/>
  <c r="B889" i="31"/>
  <c r="A889" i="31"/>
  <c r="C888" i="31"/>
  <c r="B888" i="31"/>
  <c r="A888" i="31"/>
  <c r="C887" i="31"/>
  <c r="B887" i="31"/>
  <c r="A887" i="31"/>
  <c r="C886" i="31"/>
  <c r="B886" i="31"/>
  <c r="A886" i="31"/>
  <c r="C885" i="31"/>
  <c r="B885" i="31"/>
  <c r="A885" i="31"/>
  <c r="C884" i="31"/>
  <c r="B884" i="31"/>
  <c r="A884" i="31"/>
  <c r="C883" i="31"/>
  <c r="B883" i="31"/>
  <c r="A883" i="31"/>
  <c r="C882" i="31"/>
  <c r="B882" i="31"/>
  <c r="A882" i="31"/>
  <c r="C881" i="31"/>
  <c r="B881" i="31"/>
  <c r="A881" i="31"/>
  <c r="C880" i="31"/>
  <c r="B880" i="31"/>
  <c r="A880" i="31"/>
  <c r="C879" i="31"/>
  <c r="B879" i="31"/>
  <c r="A879" i="31"/>
  <c r="C878" i="31"/>
  <c r="B878" i="31"/>
  <c r="A878" i="31"/>
  <c r="C877" i="31"/>
  <c r="B877" i="31"/>
  <c r="A877" i="31"/>
  <c r="C876" i="31"/>
  <c r="B876" i="31"/>
  <c r="A876" i="31"/>
  <c r="C875" i="31"/>
  <c r="B875" i="31"/>
  <c r="A875" i="31"/>
  <c r="C874" i="31"/>
  <c r="B874" i="31"/>
  <c r="A874" i="31"/>
  <c r="C873" i="31"/>
  <c r="B873" i="31"/>
  <c r="A873" i="31"/>
  <c r="C872" i="31"/>
  <c r="B872" i="31"/>
  <c r="A872" i="31"/>
  <c r="C871" i="31"/>
  <c r="B871" i="31"/>
  <c r="A871" i="31"/>
  <c r="C870" i="31"/>
  <c r="B870" i="31"/>
  <c r="A870" i="31"/>
  <c r="C869" i="31"/>
  <c r="B869" i="31"/>
  <c r="A869" i="31"/>
  <c r="C868" i="31"/>
  <c r="B868" i="31"/>
  <c r="A868" i="31"/>
  <c r="C867" i="31"/>
  <c r="B867" i="31"/>
  <c r="A867" i="31"/>
  <c r="C866" i="31"/>
  <c r="B866" i="31"/>
  <c r="A866" i="31"/>
  <c r="C865" i="31"/>
  <c r="B865" i="31"/>
  <c r="A865" i="31"/>
  <c r="C864" i="31"/>
  <c r="B864" i="31"/>
  <c r="A864" i="31"/>
  <c r="C863" i="31"/>
  <c r="B863" i="31"/>
  <c r="A863" i="31"/>
  <c r="C862" i="31"/>
  <c r="B862" i="31"/>
  <c r="A862" i="31"/>
  <c r="C861" i="31"/>
  <c r="B861" i="31"/>
  <c r="A861" i="31"/>
  <c r="C860" i="31"/>
  <c r="B860" i="31"/>
  <c r="A860" i="31"/>
  <c r="C859" i="31"/>
  <c r="B859" i="31"/>
  <c r="A859" i="31"/>
  <c r="C858" i="31"/>
  <c r="B858" i="31"/>
  <c r="A858" i="31"/>
  <c r="C857" i="31"/>
  <c r="B857" i="31"/>
  <c r="A857" i="31"/>
  <c r="C856" i="31"/>
  <c r="B856" i="31"/>
  <c r="A856" i="31"/>
  <c r="C855" i="31"/>
  <c r="B855" i="31"/>
  <c r="A855" i="31"/>
  <c r="C854" i="31"/>
  <c r="B854" i="31"/>
  <c r="A854" i="31"/>
  <c r="C853" i="31"/>
  <c r="B853" i="31"/>
  <c r="A853" i="31"/>
  <c r="C852" i="31"/>
  <c r="B852" i="31"/>
  <c r="A852" i="31"/>
  <c r="C851" i="31"/>
  <c r="B851" i="31"/>
  <c r="A851" i="31"/>
  <c r="C850" i="31"/>
  <c r="B850" i="31"/>
  <c r="A850" i="31"/>
  <c r="C849" i="31"/>
  <c r="B849" i="31"/>
  <c r="A849" i="31"/>
  <c r="C848" i="31"/>
  <c r="B848" i="31"/>
  <c r="A848" i="31"/>
  <c r="C847" i="31"/>
  <c r="B847" i="31"/>
  <c r="A847" i="31"/>
  <c r="C846" i="31"/>
  <c r="B846" i="31"/>
  <c r="A846" i="31"/>
  <c r="C845" i="31"/>
  <c r="B845" i="31"/>
  <c r="A845" i="31"/>
  <c r="C844" i="31"/>
  <c r="B844" i="31"/>
  <c r="A844" i="31"/>
  <c r="C843" i="31"/>
  <c r="B843" i="31"/>
  <c r="A843" i="31"/>
  <c r="C842" i="31"/>
  <c r="B842" i="31"/>
  <c r="A842" i="31"/>
  <c r="C841" i="31"/>
  <c r="B841" i="31"/>
  <c r="A841" i="31"/>
  <c r="C840" i="31"/>
  <c r="B840" i="31"/>
  <c r="A840" i="31"/>
  <c r="C839" i="31"/>
  <c r="B839" i="31"/>
  <c r="A839" i="31"/>
  <c r="C838" i="31"/>
  <c r="B838" i="31"/>
  <c r="A838" i="31"/>
  <c r="C837" i="31"/>
  <c r="B837" i="31"/>
  <c r="A837" i="31"/>
  <c r="C836" i="31"/>
  <c r="B836" i="31"/>
  <c r="A836" i="31"/>
  <c r="C835" i="31"/>
  <c r="B835" i="31"/>
  <c r="A835" i="31"/>
  <c r="C834" i="31"/>
  <c r="B834" i="31"/>
  <c r="A834" i="31"/>
  <c r="C833" i="31"/>
  <c r="B833" i="31"/>
  <c r="A833" i="31"/>
  <c r="C832" i="31"/>
  <c r="B832" i="31"/>
  <c r="A832" i="31"/>
  <c r="C831" i="31"/>
  <c r="B831" i="31"/>
  <c r="A831" i="31"/>
  <c r="C830" i="31"/>
  <c r="B830" i="31"/>
  <c r="A830" i="31"/>
  <c r="C829" i="31"/>
  <c r="B829" i="31"/>
  <c r="A829" i="31"/>
  <c r="C828" i="31"/>
  <c r="B828" i="31"/>
  <c r="A828" i="31"/>
  <c r="C827" i="31"/>
  <c r="B827" i="31"/>
  <c r="A827" i="31"/>
  <c r="C826" i="31"/>
  <c r="B826" i="31"/>
  <c r="A826" i="31"/>
  <c r="C825" i="31"/>
  <c r="B825" i="31"/>
  <c r="A825" i="31"/>
  <c r="C824" i="31"/>
  <c r="B824" i="31"/>
  <c r="A824" i="31"/>
  <c r="C823" i="31"/>
  <c r="B823" i="31"/>
  <c r="A823" i="31"/>
  <c r="C822" i="31"/>
  <c r="B822" i="31"/>
  <c r="A822" i="31"/>
  <c r="C821" i="31"/>
  <c r="B821" i="31"/>
  <c r="A821" i="31"/>
  <c r="C820" i="31"/>
  <c r="B820" i="31"/>
  <c r="A820" i="31"/>
  <c r="C819" i="31"/>
  <c r="B819" i="31"/>
  <c r="A819" i="31"/>
  <c r="C818" i="31"/>
  <c r="B818" i="31"/>
  <c r="A818" i="31"/>
  <c r="C817" i="31"/>
  <c r="B817" i="31"/>
  <c r="A817" i="31"/>
  <c r="C816" i="31"/>
  <c r="B816" i="31"/>
  <c r="A816" i="31"/>
  <c r="C815" i="31"/>
  <c r="B815" i="31"/>
  <c r="A815" i="31"/>
  <c r="C814" i="31"/>
  <c r="B814" i="31"/>
  <c r="A814" i="31"/>
  <c r="C813" i="31"/>
  <c r="B813" i="31"/>
  <c r="A813" i="31"/>
  <c r="C812" i="31"/>
  <c r="B812" i="31"/>
  <c r="A812" i="31"/>
  <c r="C811" i="31"/>
  <c r="B811" i="31"/>
  <c r="A811" i="31"/>
  <c r="C810" i="31"/>
  <c r="B810" i="31"/>
  <c r="A810" i="31"/>
  <c r="C809" i="31"/>
  <c r="B809" i="31"/>
  <c r="A809" i="31"/>
  <c r="C808" i="31"/>
  <c r="B808" i="31"/>
  <c r="A808" i="31"/>
  <c r="C807" i="31"/>
  <c r="B807" i="31"/>
  <c r="A807" i="31"/>
  <c r="C806" i="31"/>
  <c r="B806" i="31"/>
  <c r="A806" i="31"/>
  <c r="C805" i="31"/>
  <c r="B805" i="31"/>
  <c r="A805" i="31"/>
  <c r="C804" i="31"/>
  <c r="B804" i="31"/>
  <c r="A804" i="31"/>
  <c r="C803" i="31"/>
  <c r="B803" i="31"/>
  <c r="A803" i="31"/>
  <c r="C802" i="31"/>
  <c r="B802" i="31"/>
  <c r="A802" i="31"/>
  <c r="C801" i="31"/>
  <c r="B801" i="31"/>
  <c r="A801" i="31"/>
  <c r="C800" i="31"/>
  <c r="B800" i="31"/>
  <c r="A800" i="31"/>
  <c r="C799" i="31"/>
  <c r="B799" i="31"/>
  <c r="A799" i="31"/>
  <c r="C798" i="31"/>
  <c r="B798" i="31"/>
  <c r="A798" i="31"/>
  <c r="C797" i="31"/>
  <c r="B797" i="31"/>
  <c r="A797" i="31"/>
  <c r="C796" i="31"/>
  <c r="B796" i="31"/>
  <c r="A796" i="31"/>
  <c r="C795" i="31"/>
  <c r="B795" i="31"/>
  <c r="A795" i="31"/>
  <c r="C794" i="31"/>
  <c r="B794" i="31"/>
  <c r="A794" i="31"/>
  <c r="C793" i="31"/>
  <c r="B793" i="31"/>
  <c r="A793" i="31"/>
  <c r="C792" i="31"/>
  <c r="B792" i="31"/>
  <c r="A792" i="31"/>
  <c r="C791" i="31"/>
  <c r="B791" i="31"/>
  <c r="A791" i="31"/>
  <c r="C790" i="31"/>
  <c r="B790" i="31"/>
  <c r="A790" i="31"/>
  <c r="C789" i="31"/>
  <c r="B789" i="31"/>
  <c r="A789" i="31"/>
  <c r="C788" i="31"/>
  <c r="B788" i="31"/>
  <c r="A788" i="31"/>
  <c r="C787" i="31"/>
  <c r="B787" i="31"/>
  <c r="A787" i="31"/>
  <c r="C786" i="31"/>
  <c r="B786" i="31"/>
  <c r="A786" i="31"/>
  <c r="C785" i="31"/>
  <c r="B785" i="31"/>
  <c r="A785" i="31"/>
  <c r="C784" i="31"/>
  <c r="B784" i="31"/>
  <c r="A784" i="31"/>
  <c r="C783" i="31"/>
  <c r="B783" i="31"/>
  <c r="A783" i="31"/>
  <c r="C782" i="31"/>
  <c r="B782" i="31"/>
  <c r="A782" i="31"/>
  <c r="C781" i="31"/>
  <c r="B781" i="31"/>
  <c r="A781" i="31"/>
  <c r="C780" i="31"/>
  <c r="B780" i="31"/>
  <c r="A780" i="31"/>
  <c r="C779" i="31"/>
  <c r="B779" i="31"/>
  <c r="A779" i="31"/>
  <c r="C778" i="31"/>
  <c r="B778" i="31"/>
  <c r="A778" i="31"/>
  <c r="C777" i="31"/>
  <c r="B777" i="31"/>
  <c r="A777" i="31"/>
  <c r="C776" i="31"/>
  <c r="B776" i="31"/>
  <c r="A776" i="31"/>
  <c r="C775" i="31"/>
  <c r="B775" i="31"/>
  <c r="A775" i="31"/>
  <c r="C774" i="31"/>
  <c r="B774" i="31"/>
  <c r="A774" i="31"/>
  <c r="C773" i="31"/>
  <c r="B773" i="31"/>
  <c r="A773" i="31"/>
  <c r="C772" i="31"/>
  <c r="B772" i="31"/>
  <c r="A772" i="31"/>
  <c r="C771" i="31"/>
  <c r="B771" i="31"/>
  <c r="A771" i="31"/>
  <c r="C770" i="31"/>
  <c r="B770" i="31"/>
  <c r="A770" i="31"/>
  <c r="C769" i="31"/>
  <c r="B769" i="31"/>
  <c r="A769" i="31"/>
  <c r="C768" i="31"/>
  <c r="B768" i="31"/>
  <c r="A768" i="31"/>
  <c r="C767" i="31"/>
  <c r="B767" i="31"/>
  <c r="A767" i="31"/>
  <c r="C766" i="31"/>
  <c r="B766" i="31"/>
  <c r="A766" i="31"/>
  <c r="C765" i="31"/>
  <c r="B765" i="31"/>
  <c r="A765" i="31"/>
  <c r="C764" i="31"/>
  <c r="B764" i="31"/>
  <c r="A764" i="31"/>
  <c r="C763" i="31"/>
  <c r="B763" i="31"/>
  <c r="A763" i="31"/>
  <c r="C762" i="31"/>
  <c r="B762" i="31"/>
  <c r="A762" i="31"/>
  <c r="C761" i="31"/>
  <c r="B761" i="31"/>
  <c r="A761" i="31"/>
  <c r="C760" i="31"/>
  <c r="B760" i="31"/>
  <c r="A760" i="31"/>
  <c r="C759" i="31"/>
  <c r="B759" i="31"/>
  <c r="A759" i="31"/>
  <c r="C758" i="31"/>
  <c r="B758" i="31"/>
  <c r="A758" i="31"/>
  <c r="C757" i="31"/>
  <c r="B757" i="31"/>
  <c r="A757" i="31"/>
  <c r="C756" i="31"/>
  <c r="B756" i="31"/>
  <c r="A756" i="31"/>
  <c r="C755" i="31"/>
  <c r="B755" i="31"/>
  <c r="A755" i="31"/>
  <c r="C754" i="31"/>
  <c r="B754" i="31"/>
  <c r="A754" i="31"/>
  <c r="C753" i="31"/>
  <c r="B753" i="31"/>
  <c r="A753" i="31"/>
  <c r="C752" i="31"/>
  <c r="B752" i="31"/>
  <c r="A752" i="31"/>
  <c r="C751" i="31"/>
  <c r="B751" i="31"/>
  <c r="A751" i="31"/>
  <c r="C750" i="31"/>
  <c r="B750" i="31"/>
  <c r="A750" i="31"/>
  <c r="C749" i="31"/>
  <c r="B749" i="31"/>
  <c r="A749" i="31"/>
  <c r="C748" i="31"/>
  <c r="B748" i="31"/>
  <c r="A748" i="31"/>
  <c r="C747" i="31"/>
  <c r="B747" i="31"/>
  <c r="A747" i="31"/>
  <c r="C746" i="31"/>
  <c r="B746" i="31"/>
  <c r="A746" i="31"/>
  <c r="C745" i="31"/>
  <c r="B745" i="31"/>
  <c r="A745" i="31"/>
  <c r="C744" i="31"/>
  <c r="B744" i="31"/>
  <c r="A744" i="31"/>
  <c r="C743" i="31"/>
  <c r="B743" i="31"/>
  <c r="A743" i="31"/>
  <c r="C742" i="31"/>
  <c r="B742" i="31"/>
  <c r="A742" i="31"/>
  <c r="C741" i="31"/>
  <c r="B741" i="31"/>
  <c r="A741" i="31"/>
  <c r="C740" i="31"/>
  <c r="B740" i="31"/>
  <c r="A740" i="31"/>
  <c r="C739" i="31"/>
  <c r="B739" i="31"/>
  <c r="A739" i="31"/>
  <c r="C738" i="31"/>
  <c r="B738" i="31"/>
  <c r="A738" i="31"/>
  <c r="C737" i="31"/>
  <c r="B737" i="31"/>
  <c r="A737" i="31"/>
  <c r="C736" i="31"/>
  <c r="B736" i="31"/>
  <c r="A736" i="31"/>
  <c r="C735" i="31"/>
  <c r="B735" i="31"/>
  <c r="A735" i="31"/>
  <c r="C734" i="31"/>
  <c r="B734" i="31"/>
  <c r="A734" i="31"/>
  <c r="C733" i="31"/>
  <c r="B733" i="31"/>
  <c r="A733" i="31"/>
  <c r="C732" i="31"/>
  <c r="B732" i="31"/>
  <c r="A732" i="31"/>
  <c r="C731" i="31"/>
  <c r="B731" i="31"/>
  <c r="A731" i="31"/>
  <c r="C730" i="31"/>
  <c r="B730" i="31"/>
  <c r="A730" i="31"/>
  <c r="C729" i="31"/>
  <c r="B729" i="31"/>
  <c r="A729" i="31"/>
  <c r="C728" i="31"/>
  <c r="B728" i="31"/>
  <c r="A728" i="31"/>
  <c r="C727" i="31"/>
  <c r="B727" i="31"/>
  <c r="A727" i="31"/>
  <c r="C726" i="31"/>
  <c r="B726" i="31"/>
  <c r="A726" i="31"/>
  <c r="C725" i="31"/>
  <c r="B725" i="31"/>
  <c r="A725" i="31"/>
  <c r="C724" i="31"/>
  <c r="B724" i="31"/>
  <c r="A724" i="31"/>
  <c r="C723" i="31"/>
  <c r="B723" i="31"/>
  <c r="A723" i="31"/>
  <c r="C722" i="31"/>
  <c r="B722" i="31"/>
  <c r="A722" i="31"/>
  <c r="C721" i="31"/>
  <c r="B721" i="31"/>
  <c r="A721" i="31"/>
  <c r="C720" i="31"/>
  <c r="B720" i="31"/>
  <c r="A720" i="31"/>
  <c r="C719" i="31"/>
  <c r="B719" i="31"/>
  <c r="A719" i="31"/>
  <c r="C718" i="31"/>
  <c r="B718" i="31"/>
  <c r="A718" i="31"/>
  <c r="C717" i="31"/>
  <c r="B717" i="31"/>
  <c r="A717" i="31"/>
  <c r="C716" i="31"/>
  <c r="B716" i="31"/>
  <c r="A716" i="31"/>
  <c r="C715" i="31"/>
  <c r="B715" i="31"/>
  <c r="A715" i="31"/>
  <c r="C714" i="31"/>
  <c r="B714" i="31"/>
  <c r="A714" i="31"/>
  <c r="C713" i="31"/>
  <c r="B713" i="31"/>
  <c r="A713" i="31"/>
  <c r="C712" i="31"/>
  <c r="B712" i="31"/>
  <c r="A712" i="31"/>
  <c r="C711" i="31"/>
  <c r="B711" i="31"/>
  <c r="A711" i="31"/>
  <c r="C710" i="31"/>
  <c r="B710" i="31"/>
  <c r="A710" i="31"/>
  <c r="C709" i="31"/>
  <c r="B709" i="31"/>
  <c r="A709" i="31"/>
  <c r="C708" i="31"/>
  <c r="B708" i="31"/>
  <c r="A708" i="31"/>
  <c r="C707" i="31"/>
  <c r="B707" i="31"/>
  <c r="A707" i="31"/>
  <c r="C706" i="31"/>
  <c r="B706" i="31"/>
  <c r="A706" i="31"/>
  <c r="C705" i="31"/>
  <c r="B705" i="31"/>
  <c r="A705" i="31"/>
  <c r="C704" i="31"/>
  <c r="B704" i="31"/>
  <c r="A704" i="31"/>
  <c r="C703" i="31"/>
  <c r="B703" i="31"/>
  <c r="A703" i="31"/>
  <c r="C702" i="31"/>
  <c r="B702" i="31"/>
  <c r="A702" i="31"/>
  <c r="C701" i="31"/>
  <c r="B701" i="31"/>
  <c r="A701" i="31"/>
  <c r="C700" i="31"/>
  <c r="B700" i="31"/>
  <c r="A700" i="31"/>
  <c r="C699" i="31"/>
  <c r="B699" i="31"/>
  <c r="A699" i="31"/>
  <c r="C698" i="31"/>
  <c r="B698" i="31"/>
  <c r="A698" i="31"/>
  <c r="C697" i="31"/>
  <c r="B697" i="31"/>
  <c r="A697" i="31"/>
  <c r="C696" i="31"/>
  <c r="B696" i="31"/>
  <c r="A696" i="31"/>
  <c r="C695" i="31"/>
  <c r="B695" i="31"/>
  <c r="A695" i="31"/>
  <c r="C694" i="31"/>
  <c r="B694" i="31"/>
  <c r="A694" i="31"/>
  <c r="C693" i="31"/>
  <c r="B693" i="31"/>
  <c r="A693" i="31"/>
  <c r="C692" i="31"/>
  <c r="B692" i="31"/>
  <c r="A692" i="31"/>
  <c r="C691" i="31"/>
  <c r="B691" i="31"/>
  <c r="A691" i="31"/>
  <c r="C690" i="31"/>
  <c r="B690" i="31"/>
  <c r="A690" i="31"/>
  <c r="C689" i="31"/>
  <c r="B689" i="31"/>
  <c r="A689" i="31"/>
  <c r="C688" i="31"/>
  <c r="B688" i="31"/>
  <c r="A688" i="31"/>
  <c r="C687" i="31"/>
  <c r="B687" i="31"/>
  <c r="A687" i="31"/>
  <c r="C686" i="31"/>
  <c r="B686" i="31"/>
  <c r="A686" i="31"/>
  <c r="C685" i="31"/>
  <c r="B685" i="31"/>
  <c r="A685" i="31"/>
  <c r="C684" i="31"/>
  <c r="B684" i="31"/>
  <c r="A684" i="31"/>
  <c r="C683" i="31"/>
  <c r="B683" i="31"/>
  <c r="A683" i="31"/>
  <c r="C682" i="31"/>
  <c r="B682" i="31"/>
  <c r="A682" i="31"/>
  <c r="C681" i="31"/>
  <c r="B681" i="31"/>
  <c r="A681" i="31"/>
  <c r="C680" i="31"/>
  <c r="B680" i="31"/>
  <c r="A680" i="31"/>
  <c r="C679" i="31"/>
  <c r="B679" i="31"/>
  <c r="A679" i="31"/>
  <c r="C678" i="31"/>
  <c r="B678" i="31"/>
  <c r="A678" i="31"/>
  <c r="C677" i="31"/>
  <c r="B677" i="31"/>
  <c r="A677" i="31"/>
  <c r="C676" i="31"/>
  <c r="B676" i="31"/>
  <c r="A676" i="31"/>
  <c r="C675" i="31"/>
  <c r="B675" i="31"/>
  <c r="A675" i="31"/>
  <c r="C674" i="31"/>
  <c r="B674" i="31"/>
  <c r="A674" i="31"/>
  <c r="C673" i="31"/>
  <c r="B673" i="31"/>
  <c r="A673" i="31"/>
  <c r="C672" i="31"/>
  <c r="B672" i="31"/>
  <c r="A672" i="31"/>
  <c r="C671" i="31"/>
  <c r="B671" i="31"/>
  <c r="A671" i="31"/>
  <c r="C670" i="31"/>
  <c r="B670" i="31"/>
  <c r="A670" i="31"/>
  <c r="C669" i="31"/>
  <c r="B669" i="31"/>
  <c r="A669" i="31"/>
  <c r="C668" i="31"/>
  <c r="B668" i="31"/>
  <c r="A668" i="31"/>
  <c r="C667" i="31"/>
  <c r="B667" i="31"/>
  <c r="A667" i="31"/>
  <c r="C666" i="31"/>
  <c r="B666" i="31"/>
  <c r="A666" i="31"/>
  <c r="C665" i="31"/>
  <c r="B665" i="31"/>
  <c r="A665" i="31"/>
  <c r="C664" i="31"/>
  <c r="B664" i="31"/>
  <c r="A664" i="31"/>
  <c r="C663" i="31"/>
  <c r="B663" i="31"/>
  <c r="A663" i="31"/>
  <c r="C662" i="31"/>
  <c r="B662" i="31"/>
  <c r="A662" i="31"/>
  <c r="C661" i="31"/>
  <c r="B661" i="31"/>
  <c r="A661" i="31"/>
  <c r="C660" i="31"/>
  <c r="B660" i="31"/>
  <c r="A660" i="31"/>
  <c r="C659" i="31"/>
  <c r="B659" i="31"/>
  <c r="A659" i="31"/>
  <c r="C658" i="31"/>
  <c r="B658" i="31"/>
  <c r="A658" i="31"/>
  <c r="C657" i="31"/>
  <c r="B657" i="31"/>
  <c r="A657" i="31"/>
  <c r="C656" i="31"/>
  <c r="B656" i="31"/>
  <c r="A656" i="31"/>
  <c r="C655" i="31"/>
  <c r="B655" i="31"/>
  <c r="A655" i="31"/>
  <c r="C654" i="31"/>
  <c r="B654" i="31"/>
  <c r="A654" i="31"/>
  <c r="C653" i="31"/>
  <c r="B653" i="31"/>
  <c r="A653" i="31"/>
  <c r="C652" i="31"/>
  <c r="B652" i="31"/>
  <c r="A652" i="31"/>
  <c r="C651" i="31"/>
  <c r="B651" i="31"/>
  <c r="A651" i="31"/>
  <c r="C650" i="31"/>
  <c r="B650" i="31"/>
  <c r="A650" i="31"/>
  <c r="C649" i="31"/>
  <c r="B649" i="31"/>
  <c r="A649" i="31"/>
  <c r="C648" i="31"/>
  <c r="B648" i="31"/>
  <c r="A648" i="31"/>
  <c r="C647" i="31"/>
  <c r="B647" i="31"/>
  <c r="A647" i="31"/>
  <c r="C646" i="31"/>
  <c r="B646" i="31"/>
  <c r="A646" i="31"/>
  <c r="C645" i="31"/>
  <c r="B645" i="31"/>
  <c r="A645" i="31"/>
  <c r="C644" i="31"/>
  <c r="B644" i="31"/>
  <c r="A644" i="31"/>
  <c r="C643" i="31"/>
  <c r="B643" i="31"/>
  <c r="A643" i="31"/>
  <c r="C642" i="31"/>
  <c r="B642" i="31"/>
  <c r="A642" i="31"/>
  <c r="C641" i="31"/>
  <c r="B641" i="31"/>
  <c r="A641" i="31"/>
  <c r="C640" i="31"/>
  <c r="B640" i="31"/>
  <c r="A640" i="31"/>
  <c r="C639" i="31"/>
  <c r="B639" i="31"/>
  <c r="A639" i="31"/>
  <c r="C638" i="31"/>
  <c r="B638" i="31"/>
  <c r="A638" i="31"/>
  <c r="C637" i="31"/>
  <c r="B637" i="31"/>
  <c r="A637" i="31"/>
  <c r="C636" i="31"/>
  <c r="B636" i="31"/>
  <c r="A636" i="31"/>
  <c r="C635" i="31"/>
  <c r="B635" i="31"/>
  <c r="A635" i="31"/>
  <c r="C634" i="31"/>
  <c r="B634" i="31"/>
  <c r="A634" i="31"/>
  <c r="C633" i="31"/>
  <c r="B633" i="31"/>
  <c r="A633" i="31"/>
  <c r="C632" i="31"/>
  <c r="B632" i="31"/>
  <c r="A632" i="31"/>
  <c r="C631" i="31"/>
  <c r="B631" i="31"/>
  <c r="A631" i="31"/>
  <c r="C630" i="31"/>
  <c r="B630" i="31"/>
  <c r="A630" i="31"/>
  <c r="C629" i="31"/>
  <c r="B629" i="31"/>
  <c r="A629" i="31"/>
  <c r="C628" i="31"/>
  <c r="B628" i="31"/>
  <c r="A628" i="31"/>
  <c r="C627" i="31"/>
  <c r="B627" i="31"/>
  <c r="A627" i="31"/>
  <c r="C626" i="31"/>
  <c r="B626" i="31"/>
  <c r="A626" i="31"/>
  <c r="C625" i="31"/>
  <c r="B625" i="31"/>
  <c r="A625" i="31"/>
  <c r="C624" i="31"/>
  <c r="B624" i="31"/>
  <c r="A624" i="31"/>
  <c r="C623" i="31"/>
  <c r="B623" i="31"/>
  <c r="A623" i="31"/>
  <c r="C622" i="31"/>
  <c r="B622" i="31"/>
  <c r="A622" i="31"/>
  <c r="C621" i="31"/>
  <c r="B621" i="31"/>
  <c r="A621" i="31"/>
  <c r="C620" i="31"/>
  <c r="B620" i="31"/>
  <c r="A620" i="31"/>
  <c r="C619" i="31"/>
  <c r="B619" i="31"/>
  <c r="A619" i="31"/>
  <c r="C618" i="31"/>
  <c r="B618" i="31"/>
  <c r="A618" i="31"/>
  <c r="C617" i="31"/>
  <c r="B617" i="31"/>
  <c r="A617" i="31"/>
  <c r="C616" i="31"/>
  <c r="B616" i="31"/>
  <c r="A616" i="31"/>
  <c r="C615" i="31"/>
  <c r="B615" i="31"/>
  <c r="A615" i="31"/>
  <c r="C614" i="31"/>
  <c r="B614" i="31"/>
  <c r="A614" i="31"/>
  <c r="C613" i="31"/>
  <c r="B613" i="31"/>
  <c r="A613" i="31"/>
  <c r="C612" i="31"/>
  <c r="B612" i="31"/>
  <c r="A612" i="31"/>
  <c r="C611" i="31"/>
  <c r="B611" i="31"/>
  <c r="A611" i="31"/>
  <c r="C610" i="31"/>
  <c r="B610" i="31"/>
  <c r="A610" i="31"/>
  <c r="C609" i="31"/>
  <c r="B609" i="31"/>
  <c r="A609" i="31"/>
  <c r="C608" i="31"/>
  <c r="B608" i="31"/>
  <c r="A608" i="31"/>
  <c r="C607" i="31"/>
  <c r="B607" i="31"/>
  <c r="A607" i="31"/>
  <c r="C606" i="31"/>
  <c r="B606" i="31"/>
  <c r="A606" i="31"/>
  <c r="C605" i="31"/>
  <c r="B605" i="31"/>
  <c r="A605" i="31"/>
  <c r="C604" i="31"/>
  <c r="B604" i="31"/>
  <c r="A604" i="31"/>
  <c r="C603" i="31"/>
  <c r="B603" i="31"/>
  <c r="A603" i="31"/>
  <c r="C602" i="31"/>
  <c r="B602" i="31"/>
  <c r="A602" i="31"/>
  <c r="C601" i="31"/>
  <c r="B601" i="31"/>
  <c r="A601" i="31"/>
  <c r="C600" i="31"/>
  <c r="B600" i="31"/>
  <c r="A600" i="31"/>
  <c r="C599" i="31"/>
  <c r="B599" i="31"/>
  <c r="A599" i="31"/>
  <c r="C598" i="31"/>
  <c r="B598" i="31"/>
  <c r="A598" i="31"/>
  <c r="C597" i="31"/>
  <c r="B597" i="31"/>
  <c r="A597" i="31"/>
  <c r="C596" i="31"/>
  <c r="B596" i="31"/>
  <c r="A596" i="31"/>
  <c r="C595" i="31"/>
  <c r="B595" i="31"/>
  <c r="A595" i="31"/>
  <c r="C594" i="31"/>
  <c r="B594" i="31"/>
  <c r="A594" i="31"/>
  <c r="C593" i="31"/>
  <c r="B593" i="31"/>
  <c r="A593" i="31"/>
  <c r="C592" i="31"/>
  <c r="B592" i="31"/>
  <c r="A592" i="31"/>
  <c r="C591" i="31"/>
  <c r="B591" i="31"/>
  <c r="A591" i="31"/>
  <c r="C590" i="31"/>
  <c r="B590" i="31"/>
  <c r="A590" i="31"/>
  <c r="C589" i="31"/>
  <c r="B589" i="31"/>
  <c r="A589" i="31"/>
  <c r="C588" i="31"/>
  <c r="B588" i="31"/>
  <c r="A588" i="31"/>
  <c r="C587" i="31"/>
  <c r="B587" i="31"/>
  <c r="A587" i="31"/>
  <c r="C586" i="31"/>
  <c r="B586" i="31"/>
  <c r="A586" i="31"/>
  <c r="C585" i="31"/>
  <c r="B585" i="31"/>
  <c r="A585" i="31"/>
  <c r="C584" i="31"/>
  <c r="B584" i="31"/>
  <c r="A584" i="31"/>
  <c r="C583" i="31"/>
  <c r="B583" i="31"/>
  <c r="A583" i="31"/>
  <c r="C582" i="31"/>
  <c r="B582" i="31"/>
  <c r="A582" i="31"/>
  <c r="C581" i="31"/>
  <c r="B581" i="31"/>
  <c r="A581" i="31"/>
  <c r="C580" i="31"/>
  <c r="B580" i="31"/>
  <c r="A580" i="31"/>
  <c r="C579" i="31"/>
  <c r="B579" i="31"/>
  <c r="A579" i="31"/>
  <c r="C578" i="31"/>
  <c r="B578" i="31"/>
  <c r="A578" i="31"/>
  <c r="C577" i="31"/>
  <c r="B577" i="31"/>
  <c r="A577" i="31"/>
  <c r="C576" i="31"/>
  <c r="B576" i="31"/>
  <c r="A576" i="31"/>
  <c r="C575" i="31"/>
  <c r="B575" i="31"/>
  <c r="A575" i="31"/>
  <c r="C574" i="31"/>
  <c r="B574" i="31"/>
  <c r="A574" i="31"/>
  <c r="C573" i="31"/>
  <c r="B573" i="31"/>
  <c r="A573" i="31"/>
  <c r="C572" i="31"/>
  <c r="B572" i="31"/>
  <c r="A572" i="31"/>
  <c r="C571" i="31"/>
  <c r="B571" i="31"/>
  <c r="A571" i="31"/>
  <c r="C570" i="31"/>
  <c r="B570" i="31"/>
  <c r="A570" i="31"/>
  <c r="C569" i="31"/>
  <c r="B569" i="31"/>
  <c r="A569" i="31"/>
  <c r="C568" i="31"/>
  <c r="B568" i="31"/>
  <c r="A568" i="31"/>
  <c r="C567" i="31"/>
  <c r="B567" i="31"/>
  <c r="A567" i="31"/>
  <c r="C566" i="31"/>
  <c r="B566" i="31"/>
  <c r="A566" i="31"/>
  <c r="C565" i="31"/>
  <c r="B565" i="31"/>
  <c r="A565" i="31"/>
  <c r="C564" i="31"/>
  <c r="B564" i="31"/>
  <c r="A564" i="31"/>
  <c r="C563" i="31"/>
  <c r="B563" i="31"/>
  <c r="A563" i="31"/>
  <c r="C562" i="31"/>
  <c r="B562" i="31"/>
  <c r="A562" i="31"/>
  <c r="C561" i="31"/>
  <c r="B561" i="31"/>
  <c r="A561" i="31"/>
  <c r="C560" i="31"/>
  <c r="B560" i="31"/>
  <c r="A560" i="31"/>
  <c r="C559" i="31"/>
  <c r="B559" i="31"/>
  <c r="A559" i="31"/>
  <c r="C558" i="31"/>
  <c r="B558" i="31"/>
  <c r="A558" i="31"/>
  <c r="C557" i="31"/>
  <c r="B557" i="31"/>
  <c r="A557" i="31"/>
  <c r="C556" i="31"/>
  <c r="B556" i="31"/>
  <c r="A556" i="31"/>
  <c r="C555" i="31"/>
  <c r="B555" i="31"/>
  <c r="A555" i="31"/>
  <c r="C554" i="31"/>
  <c r="B554" i="31"/>
  <c r="A554" i="31"/>
  <c r="C553" i="31"/>
  <c r="B553" i="31"/>
  <c r="A553" i="31"/>
  <c r="C552" i="31"/>
  <c r="B552" i="31"/>
  <c r="A552" i="31"/>
  <c r="C551" i="31"/>
  <c r="B551" i="31"/>
  <c r="A551" i="31"/>
  <c r="C550" i="31"/>
  <c r="B550" i="31"/>
  <c r="A550" i="31"/>
  <c r="C549" i="31"/>
  <c r="B549" i="31"/>
  <c r="A549" i="31"/>
  <c r="C548" i="31"/>
  <c r="B548" i="31"/>
  <c r="A548" i="31"/>
  <c r="C547" i="31"/>
  <c r="B547" i="31"/>
  <c r="A547" i="31"/>
  <c r="C546" i="31"/>
  <c r="B546" i="31"/>
  <c r="A546" i="31"/>
  <c r="C545" i="31"/>
  <c r="B545" i="31"/>
  <c r="A545" i="31"/>
  <c r="C544" i="31"/>
  <c r="B544" i="31"/>
  <c r="A544" i="31"/>
  <c r="C543" i="31"/>
  <c r="B543" i="31"/>
  <c r="A543" i="31"/>
  <c r="C542" i="31"/>
  <c r="B542" i="31"/>
  <c r="A542" i="31"/>
  <c r="C541" i="31"/>
  <c r="B541" i="31"/>
  <c r="A541" i="31"/>
  <c r="C540" i="31"/>
  <c r="B540" i="31"/>
  <c r="A540" i="31"/>
  <c r="C539" i="31"/>
  <c r="B539" i="31"/>
  <c r="A539" i="31"/>
  <c r="C538" i="31"/>
  <c r="B538" i="31"/>
  <c r="A538" i="31"/>
  <c r="C537" i="31"/>
  <c r="B537" i="31"/>
  <c r="A537" i="31"/>
  <c r="C536" i="31"/>
  <c r="B536" i="31"/>
  <c r="A536" i="31"/>
  <c r="C535" i="31"/>
  <c r="B535" i="31"/>
  <c r="A535" i="31"/>
  <c r="C534" i="31"/>
  <c r="B534" i="31"/>
  <c r="A534" i="31"/>
  <c r="C533" i="31"/>
  <c r="B533" i="31"/>
  <c r="A533" i="31"/>
  <c r="C532" i="31"/>
  <c r="B532" i="31"/>
  <c r="A532" i="31"/>
  <c r="C531" i="31"/>
  <c r="B531" i="31"/>
  <c r="A531" i="31"/>
  <c r="C530" i="31"/>
  <c r="B530" i="31"/>
  <c r="A530" i="31"/>
  <c r="C529" i="31"/>
  <c r="B529" i="31"/>
  <c r="A529" i="31"/>
  <c r="C528" i="31"/>
  <c r="B528" i="31"/>
  <c r="A528" i="31"/>
  <c r="C527" i="31"/>
  <c r="B527" i="31"/>
  <c r="A527" i="31"/>
  <c r="C526" i="31"/>
  <c r="B526" i="31"/>
  <c r="A526" i="31"/>
  <c r="C525" i="31"/>
  <c r="B525" i="31"/>
  <c r="A525" i="31"/>
  <c r="C524" i="31"/>
  <c r="B524" i="31"/>
  <c r="A524" i="31"/>
  <c r="C523" i="31"/>
  <c r="B523" i="31"/>
  <c r="A523" i="31"/>
  <c r="C522" i="31"/>
  <c r="B522" i="31"/>
  <c r="A522" i="31"/>
  <c r="C521" i="31"/>
  <c r="B521" i="31"/>
  <c r="A521" i="31"/>
  <c r="C520" i="31"/>
  <c r="B520" i="31"/>
  <c r="A520" i="31"/>
  <c r="C519" i="31"/>
  <c r="B519" i="31"/>
  <c r="A519" i="31"/>
  <c r="C518" i="31"/>
  <c r="B518" i="31"/>
  <c r="A518" i="31"/>
  <c r="C517" i="31"/>
  <c r="B517" i="31"/>
  <c r="A517" i="31"/>
  <c r="C516" i="31"/>
  <c r="B516" i="31"/>
  <c r="A516" i="31"/>
  <c r="C515" i="31"/>
  <c r="B515" i="31"/>
  <c r="A515" i="31"/>
  <c r="C514" i="31"/>
  <c r="B514" i="31"/>
  <c r="A514" i="31"/>
  <c r="C513" i="31"/>
  <c r="B513" i="31"/>
  <c r="A513" i="31"/>
  <c r="C512" i="31"/>
  <c r="B512" i="31"/>
  <c r="A512" i="31"/>
  <c r="C511" i="31"/>
  <c r="B511" i="31"/>
  <c r="A511" i="31"/>
  <c r="C510" i="31"/>
  <c r="B510" i="31"/>
  <c r="A510" i="31"/>
  <c r="C509" i="31"/>
  <c r="B509" i="31"/>
  <c r="A509" i="31"/>
  <c r="C508" i="31"/>
  <c r="B508" i="31"/>
  <c r="A508" i="31"/>
  <c r="C507" i="31"/>
  <c r="B507" i="31"/>
  <c r="A507" i="31"/>
  <c r="C506" i="31"/>
  <c r="B506" i="31"/>
  <c r="A506" i="31"/>
  <c r="C505" i="31"/>
  <c r="B505" i="31"/>
  <c r="A505" i="31"/>
  <c r="C504" i="31"/>
  <c r="B504" i="31"/>
  <c r="A504" i="31"/>
  <c r="C503" i="31"/>
  <c r="B503" i="31"/>
  <c r="A503" i="31"/>
  <c r="C502" i="31"/>
  <c r="B502" i="31"/>
  <c r="A502" i="31"/>
  <c r="C501" i="31"/>
  <c r="B501" i="31"/>
  <c r="A501" i="31"/>
  <c r="C500" i="31"/>
  <c r="B500" i="31"/>
  <c r="A500" i="31"/>
  <c r="C499" i="31"/>
  <c r="B499" i="31"/>
  <c r="A499" i="31"/>
  <c r="C498" i="31"/>
  <c r="B498" i="31"/>
  <c r="A498" i="31"/>
  <c r="C497" i="31"/>
  <c r="B497" i="31"/>
  <c r="A497" i="31"/>
  <c r="C496" i="31"/>
  <c r="B496" i="31"/>
  <c r="A496" i="31"/>
  <c r="C495" i="31"/>
  <c r="B495" i="31"/>
  <c r="A495" i="31"/>
  <c r="C494" i="31"/>
  <c r="B494" i="31"/>
  <c r="A494" i="31"/>
  <c r="C493" i="31"/>
  <c r="B493" i="31"/>
  <c r="A493" i="31"/>
  <c r="C492" i="31"/>
  <c r="B492" i="31"/>
  <c r="A492" i="31"/>
  <c r="C491" i="31"/>
  <c r="B491" i="31"/>
  <c r="A491" i="31"/>
  <c r="C490" i="31"/>
  <c r="B490" i="31"/>
  <c r="A490" i="31"/>
  <c r="C489" i="31"/>
  <c r="B489" i="31"/>
  <c r="A489" i="31"/>
  <c r="C488" i="31"/>
  <c r="B488" i="31"/>
  <c r="A488" i="31"/>
  <c r="C487" i="31"/>
  <c r="B487" i="31"/>
  <c r="A487" i="31"/>
  <c r="C486" i="31"/>
  <c r="B486" i="31"/>
  <c r="A486" i="31"/>
  <c r="C485" i="31"/>
  <c r="B485" i="31"/>
  <c r="A485" i="31"/>
  <c r="C484" i="31"/>
  <c r="B484" i="31"/>
  <c r="A484" i="31"/>
  <c r="C483" i="31"/>
  <c r="B483" i="31"/>
  <c r="A483" i="31"/>
  <c r="C482" i="31"/>
  <c r="B482" i="31"/>
  <c r="A482" i="31"/>
  <c r="C481" i="31"/>
  <c r="B481" i="31"/>
  <c r="A481" i="31"/>
  <c r="C480" i="31"/>
  <c r="B480" i="31"/>
  <c r="A480" i="31"/>
  <c r="C479" i="31"/>
  <c r="B479" i="31"/>
  <c r="A479" i="31"/>
  <c r="C478" i="31"/>
  <c r="B478" i="31"/>
  <c r="A478" i="31"/>
  <c r="C477" i="31"/>
  <c r="B477" i="31"/>
  <c r="A477" i="31"/>
  <c r="C476" i="31"/>
  <c r="B476" i="31"/>
  <c r="A476" i="31"/>
  <c r="C475" i="31"/>
  <c r="B475" i="31"/>
  <c r="A475" i="31"/>
  <c r="C474" i="31"/>
  <c r="B474" i="31"/>
  <c r="A474" i="31"/>
  <c r="C473" i="31"/>
  <c r="B473" i="31"/>
  <c r="A473" i="31"/>
  <c r="C472" i="31"/>
  <c r="B472" i="31"/>
  <c r="A472" i="31"/>
  <c r="C471" i="31"/>
  <c r="B471" i="31"/>
  <c r="A471" i="31"/>
  <c r="C470" i="31"/>
  <c r="B470" i="31"/>
  <c r="A470" i="31"/>
  <c r="C469" i="31"/>
  <c r="B469" i="31"/>
  <c r="A469" i="31"/>
  <c r="C468" i="31"/>
  <c r="B468" i="31"/>
  <c r="A468" i="31"/>
  <c r="C467" i="31"/>
  <c r="B467" i="31"/>
  <c r="A467" i="31"/>
  <c r="C466" i="31"/>
  <c r="B466" i="31"/>
  <c r="A466" i="31"/>
  <c r="C465" i="31"/>
  <c r="B465" i="31"/>
  <c r="A465" i="31"/>
  <c r="C464" i="31"/>
  <c r="B464" i="31"/>
  <c r="A464" i="31"/>
  <c r="C463" i="31"/>
  <c r="B463" i="31"/>
  <c r="A463" i="31"/>
  <c r="C462" i="31"/>
  <c r="B462" i="31"/>
  <c r="A462" i="31"/>
  <c r="C461" i="31"/>
  <c r="B461" i="31"/>
  <c r="A461" i="31"/>
  <c r="C460" i="31"/>
  <c r="B460" i="31"/>
  <c r="A460" i="31"/>
  <c r="C459" i="31"/>
  <c r="B459" i="31"/>
  <c r="A459" i="31"/>
  <c r="C458" i="31"/>
  <c r="B458" i="31"/>
  <c r="A458" i="31"/>
  <c r="C457" i="31"/>
  <c r="B457" i="31"/>
  <c r="A457" i="31"/>
  <c r="C456" i="31"/>
  <c r="B456" i="31"/>
  <c r="A456" i="31"/>
  <c r="C455" i="31"/>
  <c r="B455" i="31"/>
  <c r="A455" i="31"/>
  <c r="C454" i="31"/>
  <c r="B454" i="31"/>
  <c r="A454" i="31"/>
  <c r="C453" i="31"/>
  <c r="B453" i="31"/>
  <c r="A453" i="31"/>
  <c r="C452" i="31"/>
  <c r="B452" i="31"/>
  <c r="A452" i="31"/>
  <c r="C451" i="31"/>
  <c r="B451" i="31"/>
  <c r="A451" i="31"/>
  <c r="C450" i="31"/>
  <c r="B450" i="31"/>
  <c r="A450" i="31"/>
  <c r="C449" i="31"/>
  <c r="B449" i="31"/>
  <c r="A449" i="31"/>
  <c r="C448" i="31"/>
  <c r="B448" i="31"/>
  <c r="A448" i="31"/>
  <c r="C447" i="31"/>
  <c r="B447" i="31"/>
  <c r="A447" i="31"/>
  <c r="C446" i="31"/>
  <c r="B446" i="31"/>
  <c r="A446" i="31"/>
  <c r="C445" i="31"/>
  <c r="B445" i="31"/>
  <c r="A445" i="31"/>
  <c r="C444" i="31"/>
  <c r="B444" i="31"/>
  <c r="A444" i="31"/>
  <c r="C443" i="31"/>
  <c r="B443" i="31"/>
  <c r="A443" i="31"/>
  <c r="C442" i="31"/>
  <c r="B442" i="31"/>
  <c r="A442" i="31"/>
  <c r="C441" i="31"/>
  <c r="B441" i="31"/>
  <c r="A441" i="31"/>
  <c r="C440" i="31"/>
  <c r="B440" i="31"/>
  <c r="A440" i="31"/>
  <c r="C439" i="31"/>
  <c r="B439" i="31"/>
  <c r="A439" i="31"/>
  <c r="C438" i="31"/>
  <c r="B438" i="31"/>
  <c r="A438" i="31"/>
  <c r="C437" i="31"/>
  <c r="B437" i="31"/>
  <c r="A437" i="31"/>
  <c r="C436" i="31"/>
  <c r="B436" i="31"/>
  <c r="A436" i="31"/>
  <c r="C435" i="31"/>
  <c r="B435" i="31"/>
  <c r="A435" i="31"/>
  <c r="C434" i="31"/>
  <c r="B434" i="31"/>
  <c r="A434" i="31"/>
  <c r="C433" i="31"/>
  <c r="B433" i="31"/>
  <c r="A433" i="31"/>
  <c r="C432" i="31"/>
  <c r="B432" i="31"/>
  <c r="A432" i="31"/>
  <c r="C431" i="31"/>
  <c r="B431" i="31"/>
  <c r="A431" i="31"/>
  <c r="C430" i="31"/>
  <c r="B430" i="31"/>
  <c r="A430" i="31"/>
  <c r="C429" i="31"/>
  <c r="B429" i="31"/>
  <c r="A429" i="31"/>
  <c r="C428" i="31"/>
  <c r="B428" i="31"/>
  <c r="A428" i="31"/>
  <c r="C427" i="31"/>
  <c r="B427" i="31"/>
  <c r="A427" i="31"/>
  <c r="C426" i="31"/>
  <c r="B426" i="31"/>
  <c r="A426" i="31"/>
  <c r="C425" i="31"/>
  <c r="B425" i="31"/>
  <c r="A425" i="31"/>
  <c r="C424" i="31"/>
  <c r="B424" i="31"/>
  <c r="A424" i="31"/>
  <c r="C423" i="31"/>
  <c r="B423" i="31"/>
  <c r="A423" i="31"/>
  <c r="C422" i="31"/>
  <c r="B422" i="31"/>
  <c r="A422" i="31"/>
  <c r="C421" i="31"/>
  <c r="B421" i="31"/>
  <c r="A421" i="31"/>
  <c r="C420" i="31"/>
  <c r="B420" i="31"/>
  <c r="A420" i="31"/>
  <c r="C419" i="31"/>
  <c r="B419" i="31"/>
  <c r="A419" i="31"/>
  <c r="C418" i="31"/>
  <c r="B418" i="31"/>
  <c r="A418" i="31"/>
  <c r="C417" i="31"/>
  <c r="B417" i="31"/>
  <c r="A417" i="31"/>
  <c r="C416" i="31"/>
  <c r="B416" i="31"/>
  <c r="A416" i="31"/>
  <c r="C415" i="31"/>
  <c r="B415" i="31"/>
  <c r="A415" i="31"/>
  <c r="C414" i="31"/>
  <c r="B414" i="31"/>
  <c r="A414" i="31"/>
  <c r="C413" i="31"/>
  <c r="B413" i="31"/>
  <c r="A413" i="31"/>
  <c r="C412" i="31"/>
  <c r="B412" i="31"/>
  <c r="A412" i="31"/>
  <c r="C411" i="31"/>
  <c r="B411" i="31"/>
  <c r="A411" i="31"/>
  <c r="C410" i="31"/>
  <c r="B410" i="31"/>
  <c r="A410" i="31"/>
  <c r="C409" i="31"/>
  <c r="B409" i="31"/>
  <c r="A409" i="31"/>
  <c r="C408" i="31"/>
  <c r="B408" i="31"/>
  <c r="A408" i="31"/>
  <c r="C407" i="31"/>
  <c r="B407" i="31"/>
  <c r="A407" i="31"/>
  <c r="C406" i="31"/>
  <c r="B406" i="31"/>
  <c r="A406" i="31"/>
  <c r="C405" i="31"/>
  <c r="B405" i="31"/>
  <c r="A405" i="31"/>
  <c r="C404" i="31"/>
  <c r="B404" i="31"/>
  <c r="A404" i="31"/>
  <c r="C403" i="31"/>
  <c r="B403" i="31"/>
  <c r="A403" i="31"/>
  <c r="C402" i="31"/>
  <c r="B402" i="31"/>
  <c r="A402" i="31"/>
  <c r="C401" i="31"/>
  <c r="B401" i="31"/>
  <c r="A401" i="31"/>
  <c r="C400" i="31"/>
  <c r="B400" i="31"/>
  <c r="A400" i="31"/>
  <c r="C399" i="31"/>
  <c r="B399" i="31"/>
  <c r="A399" i="31"/>
  <c r="C398" i="31"/>
  <c r="B398" i="31"/>
  <c r="A398" i="31"/>
  <c r="C397" i="31"/>
  <c r="B397" i="31"/>
  <c r="A397" i="31"/>
  <c r="C396" i="31"/>
  <c r="B396" i="31"/>
  <c r="A396" i="31"/>
  <c r="C395" i="31"/>
  <c r="B395" i="31"/>
  <c r="A395" i="31"/>
  <c r="C394" i="31"/>
  <c r="B394" i="31"/>
  <c r="A394" i="31"/>
  <c r="C393" i="31"/>
  <c r="B393" i="31"/>
  <c r="A393" i="31"/>
  <c r="C392" i="31"/>
  <c r="B392" i="31"/>
  <c r="A392" i="31"/>
  <c r="C391" i="31"/>
  <c r="B391" i="31"/>
  <c r="A391" i="31"/>
  <c r="C390" i="31"/>
  <c r="B390" i="31"/>
  <c r="A390" i="31"/>
  <c r="C389" i="31"/>
  <c r="B389" i="31"/>
  <c r="A389" i="31"/>
  <c r="C388" i="31"/>
  <c r="B388" i="31"/>
  <c r="A388" i="31"/>
  <c r="C387" i="31"/>
  <c r="B387" i="31"/>
  <c r="A387" i="31"/>
  <c r="C386" i="31"/>
  <c r="B386" i="31"/>
  <c r="A386" i="31"/>
  <c r="C385" i="31"/>
  <c r="B385" i="31"/>
  <c r="A385" i="31"/>
  <c r="C384" i="31"/>
  <c r="B384" i="31"/>
  <c r="A384" i="31"/>
  <c r="C383" i="31"/>
  <c r="B383" i="31"/>
  <c r="A383" i="31"/>
  <c r="C382" i="31"/>
  <c r="B382" i="31"/>
  <c r="A382" i="31"/>
  <c r="C381" i="31"/>
  <c r="B381" i="31"/>
  <c r="A381" i="31"/>
  <c r="C380" i="31"/>
  <c r="B380" i="31"/>
  <c r="A380" i="31"/>
  <c r="C379" i="31"/>
  <c r="B379" i="31"/>
  <c r="A379" i="31"/>
  <c r="C378" i="31"/>
  <c r="B378" i="31"/>
  <c r="A378" i="31"/>
  <c r="C377" i="31"/>
  <c r="B377" i="31"/>
  <c r="A377" i="31"/>
  <c r="C376" i="31"/>
  <c r="B376" i="31"/>
  <c r="A376" i="31"/>
  <c r="C375" i="31"/>
  <c r="B375" i="31"/>
  <c r="A375" i="31"/>
  <c r="C374" i="31"/>
  <c r="B374" i="31"/>
  <c r="A374" i="31"/>
  <c r="C373" i="31"/>
  <c r="B373" i="31"/>
  <c r="A373" i="31"/>
  <c r="C372" i="31"/>
  <c r="B372" i="31"/>
  <c r="A372" i="31"/>
  <c r="C371" i="31"/>
  <c r="B371" i="31"/>
  <c r="A371" i="31"/>
  <c r="C370" i="31"/>
  <c r="B370" i="31"/>
  <c r="A370" i="31"/>
  <c r="C369" i="31"/>
  <c r="B369" i="31"/>
  <c r="A369" i="31"/>
  <c r="C368" i="31"/>
  <c r="B368" i="31"/>
  <c r="A368" i="31"/>
  <c r="C367" i="31"/>
  <c r="B367" i="31"/>
  <c r="A367" i="31"/>
  <c r="C366" i="31"/>
  <c r="B366" i="31"/>
  <c r="A366" i="31"/>
  <c r="C365" i="31"/>
  <c r="B365" i="31"/>
  <c r="A365" i="31"/>
  <c r="C364" i="31"/>
  <c r="B364" i="31"/>
  <c r="A364" i="31"/>
  <c r="C363" i="31"/>
  <c r="B363" i="31"/>
  <c r="A363" i="31"/>
  <c r="C362" i="31"/>
  <c r="B362" i="31"/>
  <c r="A362" i="31"/>
  <c r="C361" i="31"/>
  <c r="B361" i="31"/>
  <c r="A361" i="31"/>
  <c r="C360" i="31"/>
  <c r="B360" i="31"/>
  <c r="A360" i="31"/>
  <c r="C359" i="31"/>
  <c r="B359" i="31"/>
  <c r="A359" i="31"/>
  <c r="C358" i="31"/>
  <c r="B358" i="31"/>
  <c r="A358" i="31"/>
  <c r="C357" i="31"/>
  <c r="B357" i="31"/>
  <c r="A357" i="31"/>
  <c r="C356" i="31"/>
  <c r="B356" i="31"/>
  <c r="A356" i="31"/>
  <c r="C355" i="31"/>
  <c r="B355" i="31"/>
  <c r="A355" i="31"/>
  <c r="C354" i="31"/>
  <c r="B354" i="31"/>
  <c r="A354" i="31"/>
  <c r="C353" i="31"/>
  <c r="B353" i="31"/>
  <c r="A353" i="31"/>
  <c r="C352" i="31"/>
  <c r="B352" i="31"/>
  <c r="A352" i="31"/>
  <c r="C351" i="31"/>
  <c r="B351" i="31"/>
  <c r="A351" i="31"/>
  <c r="C350" i="31"/>
  <c r="B350" i="31"/>
  <c r="A350" i="31"/>
  <c r="C349" i="31"/>
  <c r="B349" i="31"/>
  <c r="A349" i="31"/>
  <c r="C348" i="31"/>
  <c r="B348" i="31"/>
  <c r="A348" i="31"/>
  <c r="C347" i="31"/>
  <c r="B347" i="31"/>
  <c r="A347" i="31"/>
  <c r="C346" i="31"/>
  <c r="B346" i="31"/>
  <c r="A346" i="31"/>
  <c r="C345" i="31"/>
  <c r="B345" i="31"/>
  <c r="A345" i="31"/>
  <c r="C344" i="31"/>
  <c r="B344" i="31"/>
  <c r="A344" i="31"/>
  <c r="C343" i="31"/>
  <c r="B343" i="31"/>
  <c r="A343" i="31"/>
  <c r="C342" i="31"/>
  <c r="B342" i="31"/>
  <c r="A342" i="31"/>
  <c r="C341" i="31"/>
  <c r="B341" i="31"/>
  <c r="A341" i="31"/>
  <c r="C340" i="31"/>
  <c r="B340" i="31"/>
  <c r="A340" i="31"/>
  <c r="C339" i="31"/>
  <c r="B339" i="31"/>
  <c r="A339" i="31"/>
  <c r="C338" i="31"/>
  <c r="B338" i="31"/>
  <c r="A338" i="31"/>
  <c r="C337" i="31"/>
  <c r="B337" i="31"/>
  <c r="A337" i="31"/>
  <c r="C336" i="31"/>
  <c r="B336" i="31"/>
  <c r="A336" i="31"/>
  <c r="C335" i="31"/>
  <c r="B335" i="31"/>
  <c r="A335" i="31"/>
  <c r="C334" i="31"/>
  <c r="B334" i="31"/>
  <c r="A334" i="31"/>
  <c r="C333" i="31"/>
  <c r="B333" i="31"/>
  <c r="A333" i="31"/>
  <c r="C332" i="31"/>
  <c r="B332" i="31"/>
  <c r="A332" i="31"/>
  <c r="C331" i="31"/>
  <c r="B331" i="31"/>
  <c r="A331" i="31"/>
  <c r="C330" i="31"/>
  <c r="B330" i="31"/>
  <c r="A330" i="31"/>
  <c r="C329" i="31"/>
  <c r="B329" i="31"/>
  <c r="A329" i="31"/>
  <c r="C328" i="31"/>
  <c r="B328" i="31"/>
  <c r="A328" i="31"/>
  <c r="C327" i="31"/>
  <c r="B327" i="31"/>
  <c r="A327" i="31"/>
  <c r="C326" i="31"/>
  <c r="B326" i="31"/>
  <c r="A326" i="31"/>
  <c r="C325" i="31"/>
  <c r="B325" i="31"/>
  <c r="A325" i="31"/>
  <c r="C324" i="31"/>
  <c r="B324" i="31"/>
  <c r="A324" i="31"/>
  <c r="C323" i="31"/>
  <c r="B323" i="31"/>
  <c r="A323" i="31"/>
  <c r="C322" i="31"/>
  <c r="B322" i="31"/>
  <c r="A322" i="31"/>
  <c r="C321" i="31"/>
  <c r="B321" i="31"/>
  <c r="A321" i="31"/>
  <c r="C320" i="31"/>
  <c r="B320" i="31"/>
  <c r="A320" i="31"/>
  <c r="C319" i="31"/>
  <c r="B319" i="31"/>
  <c r="A319" i="31"/>
  <c r="C318" i="31"/>
  <c r="B318" i="31"/>
  <c r="A318" i="31"/>
  <c r="C317" i="31"/>
  <c r="B317" i="31"/>
  <c r="A317" i="31"/>
  <c r="C316" i="31"/>
  <c r="B316" i="31"/>
  <c r="A316" i="31"/>
  <c r="C315" i="31"/>
  <c r="B315" i="31"/>
  <c r="A315" i="31"/>
  <c r="C314" i="31"/>
  <c r="B314" i="31"/>
  <c r="A314" i="31"/>
  <c r="C313" i="31"/>
  <c r="B313" i="31"/>
  <c r="A313" i="31"/>
  <c r="C312" i="31"/>
  <c r="B312" i="31"/>
  <c r="A312" i="31"/>
  <c r="C311" i="31"/>
  <c r="B311" i="31"/>
  <c r="A311" i="31"/>
  <c r="C310" i="31"/>
  <c r="B310" i="31"/>
  <c r="A310" i="31"/>
  <c r="C309" i="31"/>
  <c r="B309" i="31"/>
  <c r="A309" i="31"/>
  <c r="C308" i="31"/>
  <c r="B308" i="31"/>
  <c r="A308" i="31"/>
  <c r="C307" i="31"/>
  <c r="B307" i="31"/>
  <c r="A307" i="31"/>
  <c r="C306" i="31"/>
  <c r="B306" i="31"/>
  <c r="A306" i="31"/>
  <c r="C305" i="31"/>
  <c r="B305" i="31"/>
  <c r="A305" i="31"/>
  <c r="C304" i="31"/>
  <c r="B304" i="31"/>
  <c r="A304" i="31"/>
  <c r="C303" i="31"/>
  <c r="B303" i="31"/>
  <c r="A303" i="31"/>
  <c r="C302" i="31"/>
  <c r="B302" i="31"/>
  <c r="A302" i="31"/>
  <c r="C301" i="31"/>
  <c r="B301" i="31"/>
  <c r="A301" i="31"/>
  <c r="C300" i="31"/>
  <c r="B300" i="31"/>
  <c r="A300" i="31"/>
  <c r="C299" i="31"/>
  <c r="B299" i="31"/>
  <c r="A299" i="31"/>
  <c r="C298" i="31"/>
  <c r="B298" i="31"/>
  <c r="A298" i="31"/>
  <c r="C297" i="31"/>
  <c r="B297" i="31"/>
  <c r="A297" i="31"/>
  <c r="C296" i="31"/>
  <c r="B296" i="31"/>
  <c r="A296" i="31"/>
  <c r="C295" i="31"/>
  <c r="B295" i="31"/>
  <c r="A295" i="31"/>
  <c r="C294" i="31"/>
  <c r="B294" i="31"/>
  <c r="A294" i="31"/>
  <c r="C293" i="31"/>
  <c r="B293" i="31"/>
  <c r="A293" i="31"/>
  <c r="C292" i="31"/>
  <c r="B292" i="31"/>
  <c r="A292" i="31"/>
  <c r="C291" i="31"/>
  <c r="B291" i="31"/>
  <c r="A291" i="31"/>
  <c r="C290" i="31"/>
  <c r="B290" i="31"/>
  <c r="A290" i="31"/>
  <c r="C289" i="31"/>
  <c r="B289" i="31"/>
  <c r="A289" i="31"/>
  <c r="C288" i="31"/>
  <c r="B288" i="31"/>
  <c r="A288" i="31"/>
  <c r="C287" i="31"/>
  <c r="B287" i="31"/>
  <c r="A287" i="31"/>
  <c r="C286" i="31"/>
  <c r="B286" i="31"/>
  <c r="A286" i="31"/>
  <c r="C285" i="31"/>
  <c r="B285" i="31"/>
  <c r="A285" i="31"/>
  <c r="C284" i="31"/>
  <c r="B284" i="31"/>
  <c r="A284" i="31"/>
  <c r="C283" i="31"/>
  <c r="B283" i="31"/>
  <c r="A283" i="31"/>
  <c r="C282" i="31"/>
  <c r="B282" i="31"/>
  <c r="A282" i="31"/>
  <c r="C281" i="31"/>
  <c r="B281" i="31"/>
  <c r="A281" i="31"/>
  <c r="C280" i="31"/>
  <c r="B280" i="31"/>
  <c r="A280" i="31"/>
  <c r="C279" i="31"/>
  <c r="B279" i="31"/>
  <c r="A279" i="31"/>
  <c r="C278" i="31"/>
  <c r="B278" i="31"/>
  <c r="A278" i="31"/>
  <c r="C277" i="31"/>
  <c r="B277" i="31"/>
  <c r="A277" i="31"/>
  <c r="C276" i="31"/>
  <c r="B276" i="31"/>
  <c r="A276" i="31"/>
  <c r="C275" i="31"/>
  <c r="B275" i="31"/>
  <c r="A275" i="31"/>
  <c r="C274" i="31"/>
  <c r="B274" i="31"/>
  <c r="A274" i="31"/>
  <c r="C273" i="31"/>
  <c r="B273" i="31"/>
  <c r="A273" i="31"/>
  <c r="C272" i="31"/>
  <c r="B272" i="31"/>
  <c r="A272" i="31"/>
  <c r="C271" i="31"/>
  <c r="B271" i="31"/>
  <c r="A271" i="31"/>
  <c r="C270" i="31"/>
  <c r="B270" i="31"/>
  <c r="A270" i="31"/>
  <c r="C269" i="31"/>
  <c r="B269" i="31"/>
  <c r="A269" i="31"/>
  <c r="C268" i="31"/>
  <c r="B268" i="31"/>
  <c r="A268" i="31"/>
  <c r="C267" i="31"/>
  <c r="B267" i="31"/>
  <c r="A267" i="31"/>
  <c r="C266" i="31"/>
  <c r="B266" i="31"/>
  <c r="A266" i="31"/>
  <c r="C265" i="31"/>
  <c r="B265" i="31"/>
  <c r="A265" i="31"/>
  <c r="C264" i="31"/>
  <c r="B264" i="31"/>
  <c r="A264" i="31"/>
  <c r="C263" i="31"/>
  <c r="B263" i="31"/>
  <c r="A263" i="31"/>
  <c r="C262" i="31"/>
  <c r="B262" i="31"/>
  <c r="A262" i="31"/>
  <c r="C261" i="31"/>
  <c r="B261" i="31"/>
  <c r="A261" i="31"/>
  <c r="C260" i="31"/>
  <c r="B260" i="31"/>
  <c r="A260" i="31"/>
  <c r="C259" i="31"/>
  <c r="B259" i="31"/>
  <c r="A259" i="31"/>
  <c r="C258" i="31"/>
  <c r="B258" i="31"/>
  <c r="A258" i="31"/>
  <c r="C257" i="31"/>
  <c r="B257" i="31"/>
  <c r="A257" i="31"/>
  <c r="C256" i="31"/>
  <c r="B256" i="31"/>
  <c r="A256" i="31"/>
  <c r="C255" i="31"/>
  <c r="B255" i="31"/>
  <c r="A255" i="31"/>
  <c r="C254" i="31"/>
  <c r="B254" i="31"/>
  <c r="A254" i="31"/>
  <c r="C253" i="31"/>
  <c r="B253" i="31"/>
  <c r="A253" i="31"/>
  <c r="C252" i="31"/>
  <c r="B252" i="31"/>
  <c r="A252" i="31"/>
  <c r="C251" i="31"/>
  <c r="B251" i="31"/>
  <c r="A251" i="31"/>
  <c r="C250" i="31"/>
  <c r="B250" i="31"/>
  <c r="A250" i="31"/>
  <c r="C249" i="31"/>
  <c r="B249" i="31"/>
  <c r="A249" i="31"/>
  <c r="C248" i="31"/>
  <c r="B248" i="31"/>
  <c r="A248" i="31"/>
  <c r="C247" i="31"/>
  <c r="B247" i="31"/>
  <c r="A247" i="31"/>
  <c r="C246" i="31"/>
  <c r="B246" i="31"/>
  <c r="A246" i="31"/>
  <c r="C245" i="31"/>
  <c r="B245" i="31"/>
  <c r="A245" i="31"/>
  <c r="C244" i="31"/>
  <c r="B244" i="31"/>
  <c r="A244" i="31"/>
  <c r="C243" i="31"/>
  <c r="B243" i="31"/>
  <c r="A243" i="31"/>
  <c r="C242" i="31"/>
  <c r="B242" i="31"/>
  <c r="A242" i="31"/>
  <c r="C241" i="31"/>
  <c r="B241" i="31"/>
  <c r="A241" i="31"/>
  <c r="C240" i="31"/>
  <c r="B240" i="31"/>
  <c r="A240" i="31"/>
  <c r="C239" i="31"/>
  <c r="B239" i="31"/>
  <c r="A239" i="31"/>
  <c r="C238" i="31"/>
  <c r="B238" i="31"/>
  <c r="A238" i="31"/>
  <c r="C237" i="31"/>
  <c r="B237" i="31"/>
  <c r="A237" i="31"/>
  <c r="C236" i="31"/>
  <c r="B236" i="31"/>
  <c r="A236" i="31"/>
  <c r="C235" i="31"/>
  <c r="B235" i="31"/>
  <c r="A235" i="31"/>
  <c r="C234" i="31"/>
  <c r="B234" i="31"/>
  <c r="A234" i="31"/>
  <c r="C233" i="31"/>
  <c r="B233" i="31"/>
  <c r="A233" i="31"/>
  <c r="C232" i="31"/>
  <c r="B232" i="31"/>
  <c r="A232" i="31"/>
  <c r="C231" i="31"/>
  <c r="B231" i="31"/>
  <c r="A231" i="31"/>
  <c r="C230" i="31"/>
  <c r="B230" i="31"/>
  <c r="A230" i="31"/>
  <c r="C229" i="31"/>
  <c r="B229" i="31"/>
  <c r="A229" i="31"/>
  <c r="C228" i="31"/>
  <c r="B228" i="31"/>
  <c r="A228" i="31"/>
  <c r="C227" i="31"/>
  <c r="B227" i="31"/>
  <c r="A227" i="31"/>
  <c r="C226" i="31"/>
  <c r="B226" i="31"/>
  <c r="A226" i="31"/>
  <c r="C225" i="31"/>
  <c r="B225" i="31"/>
  <c r="A225" i="31"/>
  <c r="C224" i="31"/>
  <c r="B224" i="31"/>
  <c r="A224" i="31"/>
  <c r="C223" i="31"/>
  <c r="B223" i="31"/>
  <c r="A223" i="31"/>
  <c r="C222" i="31"/>
  <c r="B222" i="31"/>
  <c r="A222" i="31"/>
  <c r="C221" i="31"/>
  <c r="B221" i="31"/>
  <c r="A221" i="31"/>
  <c r="C220" i="31"/>
  <c r="B220" i="31"/>
  <c r="A220" i="31"/>
  <c r="C219" i="31"/>
  <c r="B219" i="31"/>
  <c r="A219" i="31"/>
  <c r="C218" i="31"/>
  <c r="B218" i="31"/>
  <c r="A218" i="31"/>
  <c r="C217" i="31"/>
  <c r="B217" i="31"/>
  <c r="A217" i="31"/>
  <c r="C216" i="31"/>
  <c r="B216" i="31"/>
  <c r="A216" i="31"/>
  <c r="C215" i="31"/>
  <c r="B215" i="31"/>
  <c r="A215" i="31"/>
  <c r="C214" i="31"/>
  <c r="B214" i="31"/>
  <c r="A214" i="31"/>
  <c r="C213" i="31"/>
  <c r="B213" i="31"/>
  <c r="A213" i="31"/>
  <c r="C212" i="31"/>
  <c r="B212" i="31"/>
  <c r="A212" i="31"/>
  <c r="C211" i="31"/>
  <c r="B211" i="31"/>
  <c r="A211" i="31"/>
  <c r="C210" i="31"/>
  <c r="B210" i="31"/>
  <c r="A210" i="31"/>
  <c r="C209" i="31"/>
  <c r="B209" i="31"/>
  <c r="A209" i="31"/>
  <c r="C208" i="31"/>
  <c r="B208" i="31"/>
  <c r="A208" i="31"/>
  <c r="C207" i="31"/>
  <c r="B207" i="31"/>
  <c r="A207" i="31"/>
  <c r="C206" i="31"/>
  <c r="B206" i="31"/>
  <c r="A206" i="31"/>
  <c r="C205" i="31"/>
  <c r="B205" i="31"/>
  <c r="A205" i="31"/>
  <c r="C204" i="31"/>
  <c r="B204" i="31"/>
  <c r="A204" i="31"/>
  <c r="C203" i="31"/>
  <c r="B203" i="31"/>
  <c r="A203" i="31"/>
  <c r="C202" i="31"/>
  <c r="B202" i="31"/>
  <c r="A202" i="31"/>
  <c r="C201" i="31"/>
  <c r="B201" i="31"/>
  <c r="A201" i="31"/>
  <c r="C200" i="31"/>
  <c r="B200" i="31"/>
  <c r="A200" i="31"/>
  <c r="C199" i="31"/>
  <c r="B199" i="31"/>
  <c r="A199" i="31"/>
  <c r="C198" i="31"/>
  <c r="B198" i="31"/>
  <c r="A198" i="31"/>
  <c r="C197" i="31"/>
  <c r="B197" i="31"/>
  <c r="A197" i="31"/>
  <c r="C196" i="31"/>
  <c r="B196" i="31"/>
  <c r="A196" i="31"/>
  <c r="C195" i="31"/>
  <c r="B195" i="31"/>
  <c r="A195" i="31"/>
  <c r="C194" i="31"/>
  <c r="B194" i="31"/>
  <c r="A194" i="31"/>
  <c r="C193" i="31"/>
  <c r="B193" i="31"/>
  <c r="A193" i="31"/>
  <c r="C192" i="31"/>
  <c r="B192" i="31"/>
  <c r="A192" i="31"/>
  <c r="C191" i="31"/>
  <c r="B191" i="31"/>
  <c r="A191" i="31"/>
  <c r="C190" i="31"/>
  <c r="B190" i="31"/>
  <c r="A190" i="31"/>
  <c r="C189" i="31"/>
  <c r="B189" i="31"/>
  <c r="A189" i="31"/>
  <c r="C188" i="31"/>
  <c r="B188" i="31"/>
  <c r="A188" i="31"/>
  <c r="C187" i="31"/>
  <c r="B187" i="31"/>
  <c r="A187" i="31"/>
  <c r="C186" i="31"/>
  <c r="B186" i="31"/>
  <c r="A186" i="31"/>
  <c r="C185" i="31"/>
  <c r="B185" i="31"/>
  <c r="A185" i="31"/>
  <c r="C184" i="31"/>
  <c r="B184" i="31"/>
  <c r="A184" i="31"/>
  <c r="C183" i="31"/>
  <c r="B183" i="31"/>
  <c r="A183" i="31"/>
  <c r="C182" i="31"/>
  <c r="B182" i="31"/>
  <c r="A182" i="31"/>
  <c r="C181" i="31"/>
  <c r="B181" i="31"/>
  <c r="A181" i="31"/>
  <c r="C180" i="31"/>
  <c r="B180" i="31"/>
  <c r="A180" i="31"/>
  <c r="C179" i="31"/>
  <c r="B179" i="31"/>
  <c r="A179" i="31"/>
  <c r="C178" i="31"/>
  <c r="B178" i="31"/>
  <c r="A178" i="31"/>
  <c r="C177" i="31"/>
  <c r="B177" i="31"/>
  <c r="A177" i="31"/>
  <c r="C176" i="31"/>
  <c r="B176" i="31"/>
  <c r="A176" i="31"/>
  <c r="C175" i="31"/>
  <c r="B175" i="31"/>
  <c r="A175" i="31"/>
  <c r="C174" i="31"/>
  <c r="B174" i="31"/>
  <c r="A174" i="31"/>
  <c r="C173" i="31"/>
  <c r="B173" i="31"/>
  <c r="A173" i="31"/>
  <c r="C172" i="31"/>
  <c r="B172" i="31"/>
  <c r="A172" i="31"/>
  <c r="C171" i="31"/>
  <c r="B171" i="31"/>
  <c r="A171" i="31"/>
  <c r="C170" i="31"/>
  <c r="B170" i="31"/>
  <c r="A170" i="31"/>
  <c r="C169" i="31"/>
  <c r="B169" i="31"/>
  <c r="A169" i="31"/>
  <c r="C168" i="31"/>
  <c r="B168" i="31"/>
  <c r="A168" i="31"/>
  <c r="C167" i="31"/>
  <c r="B167" i="31"/>
  <c r="A167" i="31"/>
  <c r="C166" i="31"/>
  <c r="B166" i="31"/>
  <c r="A166" i="31"/>
  <c r="C165" i="31"/>
  <c r="B165" i="31"/>
  <c r="A165" i="31"/>
  <c r="C164" i="31"/>
  <c r="B164" i="31"/>
  <c r="A164" i="31"/>
  <c r="C163" i="31"/>
  <c r="B163" i="31"/>
  <c r="A163" i="31"/>
  <c r="C162" i="31"/>
  <c r="B162" i="31"/>
  <c r="A162" i="31"/>
  <c r="C161" i="31"/>
  <c r="B161" i="31"/>
  <c r="A161" i="31"/>
  <c r="C160" i="31"/>
  <c r="B160" i="31"/>
  <c r="A160" i="31"/>
  <c r="C159" i="31"/>
  <c r="B159" i="31"/>
  <c r="A159" i="31"/>
  <c r="C158" i="31"/>
  <c r="B158" i="31"/>
  <c r="A158" i="31"/>
  <c r="C157" i="31"/>
  <c r="B157" i="31"/>
  <c r="A157" i="31"/>
  <c r="C156" i="31"/>
  <c r="B156" i="31"/>
  <c r="A156" i="31"/>
  <c r="C155" i="31"/>
  <c r="B155" i="31"/>
  <c r="A155" i="31"/>
  <c r="C154" i="31"/>
  <c r="B154" i="31"/>
  <c r="A154" i="31"/>
  <c r="C153" i="31"/>
  <c r="B153" i="31"/>
  <c r="A153" i="31"/>
  <c r="C152" i="31"/>
  <c r="B152" i="31"/>
  <c r="A152" i="31"/>
  <c r="C151" i="31"/>
  <c r="B151" i="31"/>
  <c r="A151" i="31"/>
  <c r="C150" i="31"/>
  <c r="B150" i="31"/>
  <c r="A150" i="31"/>
  <c r="C149" i="31"/>
  <c r="B149" i="31"/>
  <c r="A149" i="31"/>
  <c r="C148" i="31"/>
  <c r="B148" i="31"/>
  <c r="A148" i="31"/>
  <c r="C147" i="31"/>
  <c r="B147" i="31"/>
  <c r="A147" i="31"/>
  <c r="C146" i="31"/>
  <c r="B146" i="31"/>
  <c r="A146" i="31"/>
  <c r="C145" i="31"/>
  <c r="B145" i="31"/>
  <c r="A145" i="31"/>
  <c r="C144" i="31"/>
  <c r="B144" i="31"/>
  <c r="A144" i="31"/>
  <c r="C143" i="31"/>
  <c r="B143" i="31"/>
  <c r="A143" i="31"/>
  <c r="C142" i="31"/>
  <c r="B142" i="31"/>
  <c r="A142" i="31"/>
  <c r="C141" i="31"/>
  <c r="B141" i="31"/>
  <c r="A141" i="31"/>
  <c r="C140" i="31"/>
  <c r="B140" i="31"/>
  <c r="A140" i="31"/>
  <c r="C139" i="31"/>
  <c r="B139" i="31"/>
  <c r="A139" i="31"/>
  <c r="C138" i="31"/>
  <c r="B138" i="31"/>
  <c r="A138" i="31"/>
  <c r="C137" i="31"/>
  <c r="B137" i="31"/>
  <c r="A137" i="31"/>
  <c r="C136" i="31"/>
  <c r="B136" i="31"/>
  <c r="A136" i="31"/>
  <c r="C135" i="31"/>
  <c r="B135" i="31"/>
  <c r="A135" i="31"/>
  <c r="C134" i="31"/>
  <c r="B134" i="31"/>
  <c r="A134" i="31"/>
  <c r="C133" i="31"/>
  <c r="B133" i="31"/>
  <c r="A133" i="31"/>
  <c r="C132" i="31"/>
  <c r="B132" i="31"/>
  <c r="A132" i="31"/>
  <c r="C131" i="31"/>
  <c r="B131" i="31"/>
  <c r="A131" i="31"/>
  <c r="C130" i="31"/>
  <c r="B130" i="31"/>
  <c r="A130" i="31"/>
  <c r="C129" i="31"/>
  <c r="B129" i="31"/>
  <c r="A129" i="31"/>
  <c r="C128" i="31"/>
  <c r="B128" i="31"/>
  <c r="A128" i="31"/>
  <c r="C127" i="31"/>
  <c r="B127" i="31"/>
  <c r="A127" i="31"/>
  <c r="C126" i="31"/>
  <c r="B126" i="31"/>
  <c r="A126" i="31"/>
  <c r="C125" i="31"/>
  <c r="B125" i="31"/>
  <c r="A125" i="31"/>
  <c r="C124" i="31"/>
  <c r="B124" i="31"/>
  <c r="A124" i="31"/>
  <c r="C123" i="31"/>
  <c r="B123" i="31"/>
  <c r="A123" i="31"/>
  <c r="C122" i="31"/>
  <c r="B122" i="31"/>
  <c r="A122" i="31"/>
  <c r="C121" i="31"/>
  <c r="B121" i="31"/>
  <c r="A121" i="31"/>
  <c r="C120" i="31"/>
  <c r="B120" i="31"/>
  <c r="A120" i="31"/>
  <c r="C119" i="31"/>
  <c r="B119" i="31"/>
  <c r="A119" i="31"/>
  <c r="C118" i="31"/>
  <c r="B118" i="31"/>
  <c r="A118" i="31"/>
  <c r="C117" i="31"/>
  <c r="B117" i="31"/>
  <c r="A117" i="31"/>
  <c r="C116" i="31"/>
  <c r="B116" i="31"/>
  <c r="A116" i="31"/>
  <c r="C115" i="31"/>
  <c r="B115" i="31"/>
  <c r="A115" i="31"/>
  <c r="C114" i="31"/>
  <c r="B114" i="31"/>
  <c r="A114" i="31"/>
  <c r="C113" i="31"/>
  <c r="B113" i="31"/>
  <c r="A113" i="31"/>
  <c r="C112" i="31"/>
  <c r="B112" i="31"/>
  <c r="A112" i="31"/>
  <c r="C111" i="31"/>
  <c r="B111" i="31"/>
  <c r="A111" i="31"/>
  <c r="C110" i="31"/>
  <c r="B110" i="31"/>
  <c r="A110" i="31"/>
  <c r="C109" i="31"/>
  <c r="B109" i="31"/>
  <c r="A109" i="31"/>
  <c r="C108" i="31"/>
  <c r="B108" i="31"/>
  <c r="A108" i="31"/>
  <c r="C107" i="31"/>
  <c r="B107" i="31"/>
  <c r="A107" i="31"/>
  <c r="C106" i="31"/>
  <c r="B106" i="31"/>
  <c r="A106" i="31"/>
  <c r="C105" i="31"/>
  <c r="B105" i="31"/>
  <c r="A105" i="31"/>
  <c r="C104" i="31"/>
  <c r="B104" i="31"/>
  <c r="A104" i="31"/>
  <c r="C103" i="31"/>
  <c r="B103" i="31"/>
  <c r="A103" i="31"/>
  <c r="C102" i="31"/>
  <c r="B102" i="31"/>
  <c r="A102" i="31"/>
  <c r="C101" i="31"/>
  <c r="B101" i="31"/>
  <c r="A101" i="31"/>
  <c r="C100" i="31"/>
  <c r="B100" i="31"/>
  <c r="A100" i="31"/>
  <c r="C99" i="31"/>
  <c r="B99" i="31"/>
  <c r="A99" i="31"/>
  <c r="C98" i="31"/>
  <c r="B98" i="31"/>
  <c r="A98" i="31"/>
  <c r="C97" i="31"/>
  <c r="B97" i="31"/>
  <c r="A97" i="31"/>
  <c r="C96" i="31"/>
  <c r="B96" i="31"/>
  <c r="A96" i="31"/>
  <c r="C95" i="31"/>
  <c r="B95" i="31"/>
  <c r="A95" i="31"/>
  <c r="C94" i="31"/>
  <c r="B94" i="31"/>
  <c r="A94" i="31"/>
  <c r="C93" i="31"/>
  <c r="B93" i="31"/>
  <c r="A93" i="31"/>
  <c r="C92" i="31"/>
  <c r="B92" i="31"/>
  <c r="A92" i="31"/>
  <c r="C91" i="31"/>
  <c r="B91" i="31"/>
  <c r="A91" i="31"/>
  <c r="C90" i="31"/>
  <c r="B90" i="31"/>
  <c r="A90" i="31"/>
  <c r="C89" i="31"/>
  <c r="B89" i="31"/>
  <c r="A89" i="31"/>
  <c r="C88" i="31"/>
  <c r="B88" i="31"/>
  <c r="A88" i="31"/>
  <c r="C87" i="31"/>
  <c r="B87" i="31"/>
  <c r="A87" i="31"/>
  <c r="C86" i="31"/>
  <c r="B86" i="31"/>
  <c r="A86" i="31"/>
  <c r="C85" i="31"/>
  <c r="B85" i="31"/>
  <c r="A85" i="31"/>
  <c r="C84" i="31"/>
  <c r="B84" i="31"/>
  <c r="A84" i="31"/>
  <c r="C83" i="31"/>
  <c r="B83" i="31"/>
  <c r="A83" i="31"/>
  <c r="C82" i="31"/>
  <c r="B82" i="31"/>
  <c r="A82" i="31"/>
  <c r="C81" i="31"/>
  <c r="B81" i="31"/>
  <c r="A81" i="31"/>
  <c r="C80" i="31"/>
  <c r="B80" i="31"/>
  <c r="A80" i="31"/>
  <c r="C79" i="31"/>
  <c r="B79" i="31"/>
  <c r="A79" i="31"/>
  <c r="C78" i="31"/>
  <c r="B78" i="31"/>
  <c r="A78" i="31"/>
  <c r="C77" i="31"/>
  <c r="B77" i="31"/>
  <c r="A77" i="31"/>
  <c r="C76" i="31"/>
  <c r="B76" i="31"/>
  <c r="A76" i="31"/>
  <c r="C75" i="31"/>
  <c r="B75" i="31"/>
  <c r="A75" i="31"/>
  <c r="C74" i="31"/>
  <c r="B74" i="31"/>
  <c r="A74" i="31"/>
  <c r="C73" i="31"/>
  <c r="B73" i="31"/>
  <c r="A73" i="31"/>
  <c r="C72" i="31"/>
  <c r="B72" i="31"/>
  <c r="A72" i="31"/>
  <c r="C71" i="31"/>
  <c r="B71" i="31"/>
  <c r="A71" i="31"/>
  <c r="C70" i="31"/>
  <c r="B70" i="31"/>
  <c r="A70" i="31"/>
  <c r="C69" i="31"/>
  <c r="B69" i="31"/>
  <c r="A69" i="31"/>
  <c r="C68" i="31"/>
  <c r="B68" i="31"/>
  <c r="A68" i="31"/>
  <c r="C67" i="31"/>
  <c r="B67" i="31"/>
  <c r="A67" i="31"/>
  <c r="C66" i="31"/>
  <c r="B66" i="31"/>
  <c r="A66" i="31"/>
  <c r="C65" i="31"/>
  <c r="B65" i="31"/>
  <c r="A65" i="31"/>
  <c r="C64" i="31"/>
  <c r="B64" i="31"/>
  <c r="A64" i="31"/>
  <c r="C63" i="31"/>
  <c r="B63" i="31"/>
  <c r="A63" i="31"/>
  <c r="C62" i="31"/>
  <c r="B62" i="31"/>
  <c r="A62" i="31"/>
  <c r="C61" i="31"/>
  <c r="B61" i="31"/>
  <c r="A61" i="31"/>
  <c r="C60" i="31"/>
  <c r="B60" i="31"/>
  <c r="A60" i="31"/>
  <c r="C59" i="31"/>
  <c r="B59" i="31"/>
  <c r="A59" i="31"/>
  <c r="C58" i="31"/>
  <c r="B58" i="31"/>
  <c r="A58" i="31"/>
  <c r="C57" i="31"/>
  <c r="B57" i="31"/>
  <c r="A57" i="31"/>
  <c r="C56" i="31"/>
  <c r="B56" i="31"/>
  <c r="A56" i="31"/>
  <c r="C55" i="31"/>
  <c r="B55" i="31"/>
  <c r="A55" i="31"/>
  <c r="C54" i="31"/>
  <c r="B54" i="31"/>
  <c r="A54" i="31"/>
  <c r="C53" i="31"/>
  <c r="B53" i="31"/>
  <c r="A53" i="31"/>
  <c r="C52" i="31"/>
  <c r="B52" i="31"/>
  <c r="A52" i="31"/>
  <c r="C51" i="31"/>
  <c r="B51" i="31"/>
  <c r="A51" i="31"/>
  <c r="C50" i="31"/>
  <c r="B50" i="31"/>
  <c r="A50" i="31"/>
  <c r="C49" i="31"/>
  <c r="B49" i="31"/>
  <c r="A49" i="31"/>
  <c r="C48" i="31"/>
  <c r="B48" i="31"/>
  <c r="A48" i="31"/>
  <c r="C47" i="31"/>
  <c r="B47" i="31"/>
  <c r="A47" i="31"/>
  <c r="C46" i="31"/>
  <c r="B46" i="31"/>
  <c r="A46" i="31"/>
  <c r="C45" i="31"/>
  <c r="B45" i="31"/>
  <c r="A45" i="31"/>
  <c r="C44" i="31"/>
  <c r="B44" i="31"/>
  <c r="A44" i="31"/>
  <c r="C43" i="31"/>
  <c r="B43" i="31"/>
  <c r="A43" i="31"/>
  <c r="C42" i="31"/>
  <c r="B42" i="31"/>
  <c r="A42" i="31"/>
  <c r="C41" i="31"/>
  <c r="B41" i="31"/>
  <c r="A41" i="31"/>
  <c r="C40" i="31"/>
  <c r="B40" i="31"/>
  <c r="A40" i="31"/>
  <c r="C39" i="31"/>
  <c r="B39" i="31"/>
  <c r="A39" i="31"/>
  <c r="C38" i="31"/>
  <c r="B38" i="31"/>
  <c r="A38" i="31"/>
  <c r="C37" i="31"/>
  <c r="B37" i="31"/>
  <c r="A37" i="31"/>
  <c r="C36" i="31"/>
  <c r="B36" i="31"/>
  <c r="A36" i="31"/>
  <c r="C35" i="31"/>
  <c r="B35" i="31"/>
  <c r="A35" i="31"/>
  <c r="C34" i="31"/>
  <c r="B34" i="31"/>
  <c r="A34" i="31"/>
  <c r="C33" i="31"/>
  <c r="B33" i="31"/>
  <c r="A33" i="31"/>
  <c r="C32" i="31"/>
  <c r="B32" i="31"/>
  <c r="A32" i="31"/>
  <c r="C31" i="31"/>
  <c r="B31" i="31"/>
  <c r="A31" i="31"/>
  <c r="C30" i="31"/>
  <c r="B30" i="31"/>
  <c r="A30" i="31"/>
  <c r="C29" i="31"/>
  <c r="B29" i="31"/>
  <c r="A29" i="31"/>
  <c r="C28" i="31"/>
  <c r="B28" i="31"/>
  <c r="A28" i="31"/>
  <c r="C27" i="31"/>
  <c r="B27" i="31"/>
  <c r="A27" i="31"/>
  <c r="C26" i="31"/>
  <c r="B26" i="31"/>
  <c r="A26" i="31"/>
  <c r="C25" i="31"/>
  <c r="B25" i="31"/>
  <c r="A25" i="31"/>
  <c r="C24" i="31"/>
  <c r="B24" i="31"/>
  <c r="A24" i="31"/>
  <c r="C23" i="31"/>
  <c r="B23" i="31"/>
  <c r="A23" i="31"/>
  <c r="C22" i="31"/>
  <c r="B22" i="31"/>
  <c r="A22" i="31"/>
  <c r="C21" i="31"/>
  <c r="B21" i="31"/>
  <c r="A21" i="31"/>
  <c r="C20" i="31"/>
  <c r="B20" i="31"/>
  <c r="A20" i="31"/>
  <c r="C19" i="31"/>
  <c r="B19" i="31"/>
  <c r="A19" i="31"/>
  <c r="C18" i="31"/>
  <c r="B18" i="31"/>
  <c r="A18" i="31"/>
  <c r="C17" i="31"/>
  <c r="B17" i="31"/>
  <c r="A17" i="31"/>
  <c r="C16" i="31"/>
  <c r="B16" i="31"/>
  <c r="A16" i="31"/>
  <c r="C15" i="31"/>
  <c r="B15" i="31"/>
  <c r="A15" i="31"/>
  <c r="C14" i="31"/>
  <c r="B14" i="31"/>
  <c r="A14" i="31"/>
  <c r="C13" i="31"/>
  <c r="B13" i="31"/>
  <c r="A13" i="31"/>
  <c r="C12" i="31"/>
  <c r="B12" i="31"/>
  <c r="A12" i="31"/>
  <c r="C11" i="31"/>
  <c r="B11" i="31"/>
  <c r="A11" i="31"/>
  <c r="C10" i="31"/>
  <c r="B10" i="31"/>
  <c r="A10" i="31"/>
  <c r="C9" i="31"/>
  <c r="B9" i="31"/>
  <c r="A9" i="31"/>
  <c r="C8" i="31"/>
  <c r="B8" i="31"/>
  <c r="A8" i="31"/>
  <c r="C7" i="31"/>
  <c r="B7" i="31"/>
  <c r="A7" i="31"/>
</calcChain>
</file>

<file path=xl/sharedStrings.xml><?xml version="1.0" encoding="utf-8"?>
<sst xmlns="http://schemas.openxmlformats.org/spreadsheetml/2006/main" count="2760" uniqueCount="69">
  <si>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</si>
  <si>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</si>
  <si>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</si>
  <si>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</si>
  <si>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</si>
  <si>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</si>
  <si>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</si>
  <si>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</si>
  <si>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</si>
  <si>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</si>
  <si>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</si>
  <si>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</si>
  <si>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</si>
  <si>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</si>
  <si>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</si>
  <si>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</si>
  <si>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</si>
  <si>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</si>
  <si>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</si>
  <si>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</si>
  <si>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</si>
  <si>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</si>
  <si>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</si>
  <si>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</si>
  <si>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</si>
  <si>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</si>
  <si>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</si>
  <si>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</si>
  <si>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</si>
  <si>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</si>
  <si>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</si>
  <si>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</si>
  <si>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</si>
  <si>
    <t>Capacidade op. [ha/h]</t>
  </si>
  <si>
    <t>Massa de combustível [kg]</t>
  </si>
  <si>
    <t>N° voo</t>
  </si>
  <si>
    <t>Abastecimento</t>
  </si>
  <si>
    <t>Ha</t>
  </si>
  <si>
    <t>Capacidade op. corrigida [ha/h]</t>
  </si>
  <si>
    <t>%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</si>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</sst>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Capacidade Operacional vs Volume de Calda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'Resultados Geral'!$C$2:$C$30</c:f>
              <c:numCache>
                <c:formatCode>General</c:formatCode>
                <c:ptCount val="2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  <c:pt idx="19">
                  <c:v>105</c:v>
                </c:pt>
                <c:pt idx="20">
                  <c:v>110</c:v>
                </c:pt>
                <c:pt idx="21">
                  <c:v>115</c:v>
                </c:pt>
                <c:pt idx="22">
                  <c:v>120</c:v>
                </c:pt>
                <c:pt idx="23">
                  <c:v>125</c:v>
                </c:pt>
                <c:pt idx="24">
                  <c:v>130</c:v>
                </c:pt>
                <c:pt idx="25">
                  <c:v>135</c:v>
                </c:pt>
                <c:pt idx="26">
                  <c:v>140</c:v>
                </c:pt>
                <c:pt idx="27">
                  <c:v>145</c:v>
                </c:pt>
                <c:pt idx="28">
                  <c:v>150</c:v>
                </c:pt>
              </c:numCache>
            </c:numRef>
          </c:xVal>
          <c:yVal>
            <c:numRef>
              <c:f>'Resultados Geral'!$I$2:$I$30</c:f>
              <c:numCache>
                <c:formatCode>General</c:formatCode>
                <c:ptCount val="29"/>
                <c:pt idx="0">
                  <c:v>0.90956800000000004</c:v>
                </c:pt>
                <c:pt idx="1">
                  <c:v>0.96430400000000005</c:v>
                </c:pt>
                <c:pt idx="2">
                  <c:v>0.98899199999999998</c:v>
                </c:pt>
                <c:pt idx="3">
                  <c:v>1.00264</c:v>
                </c:pt>
                <c:pt idx="4">
                  <c:v>1.0116480000000001</c:v>
                </c:pt>
                <c:pt idx="5">
                  <c:v>1.0144799999999998</c:v>
                </c:pt>
                <c:pt idx="6">
                  <c:v>1.0184</c:v>
                </c:pt>
                <c:pt idx="7">
                  <c:v>1.0210399999999999</c:v>
                </c:pt>
                <c:pt idx="8">
                  <c:v>1.0209439999999999</c:v>
                </c:pt>
                <c:pt idx="9">
                  <c:v>1.0218400000000001</c:v>
                </c:pt>
                <c:pt idx="10">
                  <c:v>1.019328</c:v>
                </c:pt>
                <c:pt idx="11">
                  <c:v>1.0173760000000001</c:v>
                </c:pt>
                <c:pt idx="12">
                  <c:v>1.0158240000000001</c:v>
                </c:pt>
                <c:pt idx="13">
                  <c:v>1.0144960000000001</c:v>
                </c:pt>
                <c:pt idx="14">
                  <c:v>1.0125440000000001</c:v>
                </c:pt>
                <c:pt idx="15">
                  <c:v>1.011968</c:v>
                </c:pt>
                <c:pt idx="16">
                  <c:v>1.0111520000000001</c:v>
                </c:pt>
                <c:pt idx="17">
                  <c:v>1.0072639999999999</c:v>
                </c:pt>
                <c:pt idx="18">
                  <c:v>1.0063839999999999</c:v>
                </c:pt>
                <c:pt idx="19">
                  <c:v>1.001728</c:v>
                </c:pt>
                <c:pt idx="20">
                  <c:v>1.001968</c:v>
                </c:pt>
                <c:pt idx="21">
                  <c:v>0.99835200000000002</c:v>
                </c:pt>
                <c:pt idx="22">
                  <c:v>0.99441599999999997</c:v>
                </c:pt>
                <c:pt idx="23">
                  <c:v>0.99407999999999996</c:v>
                </c:pt>
                <c:pt idx="24">
                  <c:v>0.98998400000000009</c:v>
                </c:pt>
                <c:pt idx="25">
                  <c:v>0.98638400000000004</c:v>
                </c:pt>
                <c:pt idx="26">
                  <c:v>0.98272000000000004</c:v>
                </c:pt>
                <c:pt idx="27">
                  <c:v>0.98307199999999995</c:v>
                </c:pt>
                <c:pt idx="28">
                  <c:v>0.97968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A9BE-47FC-8ACD-5049FF0FED96}"/>
            </c:ext>
          </c:extLst>
        </c:ser>
        <c:ser>
          <c:idx val="1"/>
          <c:order val="1"/>
          <c:smooth val="0"/>
          <c:extLst>
            <c:ext xmlns:c16="http://schemas.microsoft.com/office/drawing/2014/chart" uri="{C3380CC4-5D6E-409C-BE32-E72D297353CC}">
              <c16:uniqueId val="{0000000A-A9BE-47FC-8ACD-5049FF0FE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991312"/>
        <c:axId val="737997072"/>
      </c:scatterChart>
      <c:valAx>
        <c:axId val="737991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Volume de Calda [L]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7997072"/>
        <c:crosses val="autoZero"/>
        <c:crossBetween val="midCat"/>
      </c:valAx>
      <c:valAx>
        <c:axId val="73799707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Capacidade Operacional [ha/h]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7991312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83C8-41BD-8277-39864550EC1C}"/>
              </c:ext>
            </c:extLst>
          </c:dPt>
          <c:dPt>
            <c:idx val="1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3C8-41BD-8277-39864550EC1C}"/>
              </c:ext>
            </c:extLst>
          </c:dPt>
          <c:dPt>
            <c:idx val="2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3C8-41BD-8277-39864550EC1C}"/>
              </c:ext>
            </c:extLst>
          </c:dPt>
          <c:dPt>
            <c:idx val="3"/>
            <c:marker>
              <c:spPr>
                <a:solidFill>
                  <a:srgbClr val="F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3C8-41BD-8277-39864550EC1C}"/>
              </c:ext>
            </c:extLst>
          </c:dPt>
          <c:dPt>
            <c:idx val="4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3C8-41BD-8277-39864550EC1C}"/>
              </c:ext>
            </c:extLst>
          </c:dPt>
          <c:dPt>
            <c:idx val="5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3C8-41BD-8277-39864550EC1C}"/>
              </c:ext>
            </c:extLst>
          </c:dPt>
          <c:dPt>
            <c:idx val="6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3C8-41BD-8277-39864550EC1C}"/>
              </c:ext>
            </c:extLst>
          </c:dPt>
          <c:dPt>
            <c:idx val="7"/>
            <c:marker>
              <c:spPr>
                <a:solidFill>
                  <a:srgbClr val="F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3C8-41BD-8277-39864550EC1C}"/>
              </c:ext>
            </c:extLst>
          </c:dPt>
          <c:dPt>
            <c:idx val="8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3C8-41BD-8277-39864550EC1C}"/>
              </c:ext>
            </c:extLst>
          </c:dPt>
          <c:dPt>
            <c:idx val="9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3C8-41BD-8277-39864550EC1C}"/>
              </c:ext>
            </c:extLst>
          </c:dPt>
          <c:dPt>
            <c:idx val="10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3C8-41BD-8277-39864550EC1C}"/>
              </c:ext>
            </c:extLst>
          </c:dPt>
          <c:dPt>
            <c:idx val="11"/>
            <c:marker>
              <c:spPr>
                <a:solidFill>
                  <a:srgbClr val="F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3C8-41BD-8277-39864550EC1C}"/>
              </c:ext>
            </c:extLst>
          </c:dPt>
          <c:dPt>
            <c:idx val="12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3C8-41BD-8277-39864550EC1C}"/>
              </c:ext>
            </c:extLst>
          </c:dPt>
          <c:dPt>
            <c:idx val="13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3C8-41BD-8277-39864550EC1C}"/>
              </c:ext>
            </c:extLst>
          </c:dPt>
          <c:dPt>
            <c:idx val="14"/>
            <c:marker>
              <c:spPr>
                <a:solidFill>
                  <a:srgbClr val="F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3C8-41BD-8277-39864550EC1C}"/>
              </c:ext>
            </c:extLst>
          </c:dPt>
          <c:dPt>
            <c:idx val="15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3C8-41BD-8277-39864550EC1C}"/>
              </c:ext>
            </c:extLst>
          </c:dPt>
          <c:dPt>
            <c:idx val="16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3C8-41BD-8277-39864550EC1C}"/>
              </c:ext>
            </c:extLst>
          </c:dPt>
          <c:dPt>
            <c:idx val="17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3C8-41BD-8277-39864550EC1C}"/>
              </c:ext>
            </c:extLst>
          </c:dPt>
          <c:dPt>
            <c:idx val="18"/>
            <c:marker>
              <c:spPr>
                <a:solidFill>
                  <a:srgbClr val="F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3C8-41BD-8277-39864550EC1C}"/>
              </c:ext>
            </c:extLst>
          </c:dPt>
          <c:dPt>
            <c:idx val="19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3C8-41BD-8277-39864550EC1C}"/>
              </c:ext>
            </c:extLst>
          </c:dPt>
          <c:dPt>
            <c:idx val="20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3C8-41BD-8277-39864550EC1C}"/>
              </c:ext>
            </c:extLst>
          </c:dPt>
          <c:dPt>
            <c:idx val="21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83C8-41BD-8277-39864550EC1C}"/>
              </c:ext>
            </c:extLst>
          </c:dPt>
          <c:dPt>
            <c:idx val="22"/>
            <c:marker>
              <c:spPr>
                <a:solidFill>
                  <a:srgbClr val="F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83C8-41BD-8277-39864550EC1C}"/>
              </c:ext>
            </c:extLst>
          </c:dPt>
          <c:dPt>
            <c:idx val="23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83C8-41BD-8277-39864550EC1C}"/>
              </c:ext>
            </c:extLst>
          </c:dPt>
          <c:dPt>
            <c:idx val="24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83C8-41BD-8277-39864550EC1C}"/>
              </c:ext>
            </c:extLst>
          </c:dPt>
          <c:dPt>
            <c:idx val="25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83C8-41BD-8277-39864550EC1C}"/>
              </c:ext>
            </c:extLst>
          </c:dPt>
          <c:dPt>
            <c:idx val="26"/>
            <c:marker>
              <c:spPr>
                <a:solidFill>
                  <a:srgbClr val="F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83C8-41BD-8277-39864550EC1C}"/>
              </c:ext>
            </c:extLst>
          </c:dPt>
          <c:dPt>
            <c:idx val="27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83C8-41BD-8277-39864550EC1C}"/>
              </c:ext>
            </c:extLst>
          </c:dPt>
          <c:dPt>
            <c:idx val="28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83C8-41BD-8277-39864550EC1C}"/>
              </c:ext>
            </c:extLst>
          </c:dPt>
          <c:dPt>
            <c:idx val="29"/>
            <c:marker>
              <c:spPr>
                <a:solidFill>
                  <a:srgbClr val="F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83C8-41BD-8277-39864550EC1C}"/>
              </c:ext>
            </c:extLst>
          </c:dPt>
          <c:dPt>
            <c:idx val="30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83C8-41BD-8277-39864550EC1C}"/>
              </c:ext>
            </c:extLst>
          </c:dPt>
          <c:dPt>
            <c:idx val="31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83C8-41BD-8277-39864550EC1C}"/>
              </c:ext>
            </c:extLst>
          </c:dPt>
          <c:dPt>
            <c:idx val="32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83C8-41BD-8277-39864550EC1C}"/>
              </c:ext>
            </c:extLst>
          </c:dPt>
          <c:dPt>
            <c:idx val="33"/>
            <c:marker>
              <c:spPr>
                <a:solidFill>
                  <a:srgbClr val="F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83C8-41BD-8277-39864550EC1C}"/>
              </c:ext>
            </c:extLst>
          </c:dPt>
          <c:dPt>
            <c:idx val="34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83C8-41BD-8277-39864550EC1C}"/>
              </c:ext>
            </c:extLst>
          </c:dPt>
          <c:dPt>
            <c:idx val="35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83C8-41BD-8277-39864550EC1C}"/>
              </c:ext>
            </c:extLst>
          </c:dPt>
          <c:dPt>
            <c:idx val="36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83C8-41BD-8277-39864550EC1C}"/>
              </c:ext>
            </c:extLst>
          </c:dPt>
          <c:dPt>
            <c:idx val="37"/>
            <c:marker>
              <c:spPr>
                <a:solidFill>
                  <a:srgbClr val="F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83C8-41BD-8277-39864550EC1C}"/>
              </c:ext>
            </c:extLst>
          </c:dPt>
          <c:dPt>
            <c:idx val="38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83C8-41BD-8277-39864550EC1C}"/>
              </c:ext>
            </c:extLst>
          </c:dPt>
          <c:dPt>
            <c:idx val="39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83C8-41BD-8277-39864550EC1C}"/>
              </c:ext>
            </c:extLst>
          </c:dPt>
          <c:dPt>
            <c:idx val="40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83C8-41BD-8277-39864550EC1C}"/>
              </c:ext>
            </c:extLst>
          </c:dPt>
          <c:dPt>
            <c:idx val="41"/>
            <c:marker>
              <c:spPr>
                <a:solidFill>
                  <a:srgbClr val="F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9-83C8-41BD-8277-39864550EC1C}"/>
              </c:ext>
            </c:extLst>
          </c:dPt>
          <c:dPt>
            <c:idx val="42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A-83C8-41BD-8277-39864550EC1C}"/>
              </c:ext>
            </c:extLst>
          </c:dPt>
          <c:dPt>
            <c:idx val="43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B-83C8-41BD-8277-39864550EC1C}"/>
              </c:ext>
            </c:extLst>
          </c:dPt>
          <c:dPt>
            <c:idx val="44"/>
            <c:marker>
              <c:spPr>
                <a:solidFill>
                  <a:srgbClr val="F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C-83C8-41BD-8277-39864550EC1C}"/>
              </c:ext>
            </c:extLst>
          </c:dPt>
          <c:dPt>
            <c:idx val="45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D-83C8-41BD-8277-39864550EC1C}"/>
              </c:ext>
            </c:extLst>
          </c:dPt>
          <c:dPt>
            <c:idx val="46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E-83C8-41BD-8277-39864550EC1C}"/>
              </c:ext>
            </c:extLst>
          </c:dPt>
          <c:dPt>
            <c:idx val="47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F-83C8-41BD-8277-39864550EC1C}"/>
              </c:ext>
            </c:extLst>
          </c:dPt>
          <c:dPt>
            <c:idx val="48"/>
            <c:marker>
              <c:spPr>
                <a:solidFill>
                  <a:srgbClr val="F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0-83C8-41BD-8277-39864550EC1C}"/>
              </c:ext>
            </c:extLst>
          </c:dPt>
          <c:dPt>
            <c:idx val="49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1-83C8-41BD-8277-39864550EC1C}"/>
              </c:ext>
            </c:extLst>
          </c:dPt>
          <c:dPt>
            <c:idx val="50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2-83C8-41BD-8277-39864550EC1C}"/>
              </c:ext>
            </c:extLst>
          </c:dPt>
          <c:dPt>
            <c:idx val="51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3-83C8-41BD-8277-39864550EC1C}"/>
              </c:ext>
            </c:extLst>
          </c:dPt>
          <c:dPt>
            <c:idx val="52"/>
            <c:marker>
              <c:spPr>
                <a:solidFill>
                  <a:srgbClr val="F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4-83C8-41BD-8277-39864550EC1C}"/>
              </c:ext>
            </c:extLst>
          </c:dPt>
          <c:dPt>
            <c:idx val="53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83C8-41BD-8277-39864550EC1C}"/>
              </c:ext>
            </c:extLst>
          </c:dPt>
          <c:dPt>
            <c:idx val="54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6-83C8-41BD-8277-39864550EC1C}"/>
              </c:ext>
            </c:extLst>
          </c:dPt>
          <c:dPt>
            <c:idx val="55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7-83C8-41BD-8277-39864550EC1C}"/>
              </c:ext>
            </c:extLst>
          </c:dPt>
          <c:dPt>
            <c:idx val="56"/>
            <c:marker>
              <c:spPr>
                <a:solidFill>
                  <a:srgbClr val="F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8-83C8-41BD-8277-39864550EC1C}"/>
              </c:ext>
            </c:extLst>
          </c:dPt>
          <c:dPt>
            <c:idx val="57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9-83C8-41BD-8277-39864550EC1C}"/>
              </c:ext>
            </c:extLst>
          </c:dPt>
          <c:dPt>
            <c:idx val="58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A-83C8-41BD-8277-39864550EC1C}"/>
              </c:ext>
            </c:extLst>
          </c:dPt>
          <c:dPt>
            <c:idx val="59"/>
            <c:marker>
              <c:spPr>
                <a:solidFill>
                  <a:srgbClr val="E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B-83C8-41BD-8277-39864550EC1C}"/>
              </c:ext>
            </c:extLst>
          </c:dPt>
          <c:dPt>
            <c:idx val="60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C-83C8-41BD-8277-39864550EC1C}"/>
              </c:ext>
            </c:extLst>
          </c:dPt>
          <c:dPt>
            <c:idx val="61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D-83C8-41BD-8277-39864550EC1C}"/>
              </c:ext>
            </c:extLst>
          </c:dPt>
          <c:dPt>
            <c:idx val="62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E-83C8-41BD-8277-39864550EC1C}"/>
              </c:ext>
            </c:extLst>
          </c:dPt>
          <c:dPt>
            <c:idx val="63"/>
            <c:marker>
              <c:spPr>
                <a:solidFill>
                  <a:srgbClr val="E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F-83C8-41BD-8277-39864550EC1C}"/>
              </c:ext>
            </c:extLst>
          </c:dPt>
          <c:dPt>
            <c:idx val="64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0-83C8-41BD-8277-39864550EC1C}"/>
              </c:ext>
            </c:extLst>
          </c:dPt>
          <c:dPt>
            <c:idx val="65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1-83C8-41BD-8277-39864550EC1C}"/>
              </c:ext>
            </c:extLst>
          </c:dPt>
          <c:dPt>
            <c:idx val="66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2-83C8-41BD-8277-39864550EC1C}"/>
              </c:ext>
            </c:extLst>
          </c:dPt>
          <c:dPt>
            <c:idx val="67"/>
            <c:marker>
              <c:spPr>
                <a:solidFill>
                  <a:srgbClr val="E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3-83C8-41BD-8277-39864550EC1C}"/>
              </c:ext>
            </c:extLst>
          </c:dPt>
          <c:dPt>
            <c:idx val="68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4-83C8-41BD-8277-39864550EC1C}"/>
              </c:ext>
            </c:extLst>
          </c:dPt>
          <c:dPt>
            <c:idx val="69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5-83C8-41BD-8277-39864550EC1C}"/>
              </c:ext>
            </c:extLst>
          </c:dPt>
          <c:dPt>
            <c:idx val="70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6-83C8-41BD-8277-39864550EC1C}"/>
              </c:ext>
            </c:extLst>
          </c:dPt>
          <c:dPt>
            <c:idx val="71"/>
            <c:marker>
              <c:spPr>
                <a:solidFill>
                  <a:srgbClr val="E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7-83C8-41BD-8277-39864550EC1C}"/>
              </c:ext>
            </c:extLst>
          </c:dPt>
          <c:dPt>
            <c:idx val="72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8-83C8-41BD-8277-39864550EC1C}"/>
              </c:ext>
            </c:extLst>
          </c:dPt>
          <c:dPt>
            <c:idx val="73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9-83C8-41BD-8277-39864550EC1C}"/>
              </c:ext>
            </c:extLst>
          </c:dPt>
          <c:dPt>
            <c:idx val="74"/>
            <c:marker>
              <c:spPr>
                <a:solidFill>
                  <a:srgbClr val="E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A-83C8-41BD-8277-39864550EC1C}"/>
              </c:ext>
            </c:extLst>
          </c:dPt>
          <c:dPt>
            <c:idx val="75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B-83C8-41BD-8277-39864550EC1C}"/>
              </c:ext>
            </c:extLst>
          </c:dPt>
          <c:dPt>
            <c:idx val="76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C-83C8-41BD-8277-39864550EC1C}"/>
              </c:ext>
            </c:extLst>
          </c:dPt>
          <c:dPt>
            <c:idx val="77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D-83C8-41BD-8277-39864550EC1C}"/>
              </c:ext>
            </c:extLst>
          </c:dPt>
          <c:dPt>
            <c:idx val="78"/>
            <c:marker>
              <c:spPr>
                <a:solidFill>
                  <a:srgbClr val="E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E-83C8-41BD-8277-39864550EC1C}"/>
              </c:ext>
            </c:extLst>
          </c:dPt>
          <c:dPt>
            <c:idx val="79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4F-83C8-41BD-8277-39864550EC1C}"/>
              </c:ext>
            </c:extLst>
          </c:dPt>
          <c:dPt>
            <c:idx val="80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0-83C8-41BD-8277-39864550EC1C}"/>
              </c:ext>
            </c:extLst>
          </c:dPt>
          <c:dPt>
            <c:idx val="81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1-83C8-41BD-8277-39864550EC1C}"/>
              </c:ext>
            </c:extLst>
          </c:dPt>
          <c:dPt>
            <c:idx val="82"/>
            <c:marker>
              <c:spPr>
                <a:solidFill>
                  <a:srgbClr val="E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2-83C8-41BD-8277-39864550EC1C}"/>
              </c:ext>
            </c:extLst>
          </c:dPt>
          <c:dPt>
            <c:idx val="83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3-83C8-41BD-8277-39864550EC1C}"/>
              </c:ext>
            </c:extLst>
          </c:dPt>
          <c:dPt>
            <c:idx val="84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4-83C8-41BD-8277-39864550EC1C}"/>
              </c:ext>
            </c:extLst>
          </c:dPt>
          <c:dPt>
            <c:idx val="85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5-83C8-41BD-8277-39864550EC1C}"/>
              </c:ext>
            </c:extLst>
          </c:dPt>
          <c:dPt>
            <c:idx val="86"/>
            <c:marker>
              <c:spPr>
                <a:solidFill>
                  <a:srgbClr val="E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6-83C8-41BD-8277-39864550EC1C}"/>
              </c:ext>
            </c:extLst>
          </c:dPt>
          <c:dPt>
            <c:idx val="87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7-83C8-41BD-8277-39864550EC1C}"/>
              </c:ext>
            </c:extLst>
          </c:dPt>
          <c:dPt>
            <c:idx val="88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8-83C8-41BD-8277-39864550EC1C}"/>
              </c:ext>
            </c:extLst>
          </c:dPt>
          <c:dPt>
            <c:idx val="89"/>
            <c:marker>
              <c:spPr>
                <a:solidFill>
                  <a:srgbClr val="E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9-83C8-41BD-8277-39864550EC1C}"/>
              </c:ext>
            </c:extLst>
          </c:dPt>
          <c:dPt>
            <c:idx val="90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A-83C8-41BD-8277-39864550EC1C}"/>
              </c:ext>
            </c:extLst>
          </c:dPt>
          <c:dPt>
            <c:idx val="91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B-83C8-41BD-8277-39864550EC1C}"/>
              </c:ext>
            </c:extLst>
          </c:dPt>
          <c:dPt>
            <c:idx val="92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C-83C8-41BD-8277-39864550EC1C}"/>
              </c:ext>
            </c:extLst>
          </c:dPt>
          <c:dPt>
            <c:idx val="93"/>
            <c:marker>
              <c:spPr>
                <a:solidFill>
                  <a:srgbClr val="E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D-83C8-41BD-8277-39864550EC1C}"/>
              </c:ext>
            </c:extLst>
          </c:dPt>
          <c:dPt>
            <c:idx val="94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E-83C8-41BD-8277-39864550EC1C}"/>
              </c:ext>
            </c:extLst>
          </c:dPt>
          <c:dPt>
            <c:idx val="95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5F-83C8-41BD-8277-39864550EC1C}"/>
              </c:ext>
            </c:extLst>
          </c:dPt>
          <c:dPt>
            <c:idx val="96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0-83C8-41BD-8277-39864550EC1C}"/>
              </c:ext>
            </c:extLst>
          </c:dPt>
          <c:dPt>
            <c:idx val="97"/>
            <c:marker>
              <c:spPr>
                <a:solidFill>
                  <a:srgbClr val="E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1-83C8-41BD-8277-39864550EC1C}"/>
              </c:ext>
            </c:extLst>
          </c:dPt>
          <c:dPt>
            <c:idx val="98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2-83C8-41BD-8277-39864550EC1C}"/>
              </c:ext>
            </c:extLst>
          </c:dPt>
          <c:dPt>
            <c:idx val="99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3-83C8-41BD-8277-39864550EC1C}"/>
              </c:ext>
            </c:extLst>
          </c:dPt>
          <c:dPt>
            <c:idx val="100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4-83C8-41BD-8277-39864550EC1C}"/>
              </c:ext>
            </c:extLst>
          </c:dPt>
          <c:dPt>
            <c:idx val="101"/>
            <c:marker>
              <c:spPr>
                <a:solidFill>
                  <a:srgbClr val="E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5-83C8-41BD-8277-39864550EC1C}"/>
              </c:ext>
            </c:extLst>
          </c:dPt>
          <c:dPt>
            <c:idx val="102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6-83C8-41BD-8277-39864550EC1C}"/>
              </c:ext>
            </c:extLst>
          </c:dPt>
          <c:dPt>
            <c:idx val="103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7-83C8-41BD-8277-39864550EC1C}"/>
              </c:ext>
            </c:extLst>
          </c:dPt>
          <c:dPt>
            <c:idx val="104"/>
            <c:marker>
              <c:spPr>
                <a:solidFill>
                  <a:srgbClr val="E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8-83C8-41BD-8277-39864550EC1C}"/>
              </c:ext>
            </c:extLst>
          </c:dPt>
          <c:dPt>
            <c:idx val="105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9-83C8-41BD-8277-39864550EC1C}"/>
              </c:ext>
            </c:extLst>
          </c:dPt>
          <c:dPt>
            <c:idx val="106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A-83C8-41BD-8277-39864550EC1C}"/>
              </c:ext>
            </c:extLst>
          </c:dPt>
          <c:dPt>
            <c:idx val="107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B-83C8-41BD-8277-39864550EC1C}"/>
              </c:ext>
            </c:extLst>
          </c:dPt>
          <c:dPt>
            <c:idx val="108"/>
            <c:marker>
              <c:spPr>
                <a:solidFill>
                  <a:srgbClr val="E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C-83C8-41BD-8277-39864550EC1C}"/>
              </c:ext>
            </c:extLst>
          </c:dPt>
          <c:dPt>
            <c:idx val="109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D-83C8-41BD-8277-39864550EC1C}"/>
              </c:ext>
            </c:extLst>
          </c:dPt>
          <c:dPt>
            <c:idx val="110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E-83C8-41BD-8277-39864550EC1C}"/>
              </c:ext>
            </c:extLst>
          </c:dPt>
          <c:dPt>
            <c:idx val="111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6F-83C8-41BD-8277-39864550EC1C}"/>
              </c:ext>
            </c:extLst>
          </c:dPt>
          <c:dPt>
            <c:idx val="112"/>
            <c:marker>
              <c:spPr>
                <a:solidFill>
                  <a:srgbClr val="E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0-83C8-41BD-8277-39864550EC1C}"/>
              </c:ext>
            </c:extLst>
          </c:dPt>
          <c:dPt>
            <c:idx val="113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1-83C8-41BD-8277-39864550EC1C}"/>
              </c:ext>
            </c:extLst>
          </c:dPt>
          <c:dPt>
            <c:idx val="114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2-83C8-41BD-8277-39864550EC1C}"/>
              </c:ext>
            </c:extLst>
          </c:dPt>
          <c:dPt>
            <c:idx val="115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3-83C8-41BD-8277-39864550EC1C}"/>
              </c:ext>
            </c:extLst>
          </c:dPt>
          <c:dPt>
            <c:idx val="116"/>
            <c:marker>
              <c:spPr>
                <a:solidFill>
                  <a:srgbClr val="E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4-83C8-41BD-8277-39864550EC1C}"/>
              </c:ext>
            </c:extLst>
          </c:dPt>
          <c:dPt>
            <c:idx val="117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5-83C8-41BD-8277-39864550EC1C}"/>
              </c:ext>
            </c:extLst>
          </c:dPt>
          <c:dPt>
            <c:idx val="118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6-83C8-41BD-8277-39864550EC1C}"/>
              </c:ext>
            </c:extLst>
          </c:dPt>
          <c:dPt>
            <c:idx val="119"/>
            <c:marker>
              <c:spPr>
                <a:solidFill>
                  <a:srgbClr val="D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7-83C8-41BD-8277-39864550EC1C}"/>
              </c:ext>
            </c:extLst>
          </c:dPt>
          <c:dPt>
            <c:idx val="120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8-83C8-41BD-8277-39864550EC1C}"/>
              </c:ext>
            </c:extLst>
          </c:dPt>
          <c:dPt>
            <c:idx val="121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9-83C8-41BD-8277-39864550EC1C}"/>
              </c:ext>
            </c:extLst>
          </c:dPt>
          <c:dPt>
            <c:idx val="122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A-83C8-41BD-8277-39864550EC1C}"/>
              </c:ext>
            </c:extLst>
          </c:dPt>
          <c:dPt>
            <c:idx val="123"/>
            <c:marker>
              <c:spPr>
                <a:solidFill>
                  <a:srgbClr val="D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B-83C8-41BD-8277-39864550EC1C}"/>
              </c:ext>
            </c:extLst>
          </c:dPt>
          <c:dPt>
            <c:idx val="124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C-83C8-41BD-8277-39864550EC1C}"/>
              </c:ext>
            </c:extLst>
          </c:dPt>
          <c:dPt>
            <c:idx val="125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D-83C8-41BD-8277-39864550EC1C}"/>
              </c:ext>
            </c:extLst>
          </c:dPt>
          <c:dPt>
            <c:idx val="126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E-83C8-41BD-8277-39864550EC1C}"/>
              </c:ext>
            </c:extLst>
          </c:dPt>
          <c:dPt>
            <c:idx val="127"/>
            <c:marker>
              <c:spPr>
                <a:solidFill>
                  <a:srgbClr val="D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7F-83C8-41BD-8277-39864550EC1C}"/>
              </c:ext>
            </c:extLst>
          </c:dPt>
          <c:dPt>
            <c:idx val="128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0-83C8-41BD-8277-39864550EC1C}"/>
              </c:ext>
            </c:extLst>
          </c:dPt>
          <c:dPt>
            <c:idx val="129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1-83C8-41BD-8277-39864550EC1C}"/>
              </c:ext>
            </c:extLst>
          </c:dPt>
          <c:dPt>
            <c:idx val="130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2-83C8-41BD-8277-39864550EC1C}"/>
              </c:ext>
            </c:extLst>
          </c:dPt>
          <c:dPt>
            <c:idx val="131"/>
            <c:marker>
              <c:spPr>
                <a:solidFill>
                  <a:srgbClr val="D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3-83C8-41BD-8277-39864550EC1C}"/>
              </c:ext>
            </c:extLst>
          </c:dPt>
          <c:dPt>
            <c:idx val="132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4-83C8-41BD-8277-39864550EC1C}"/>
              </c:ext>
            </c:extLst>
          </c:dPt>
          <c:dPt>
            <c:idx val="133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5-83C8-41BD-8277-39864550EC1C}"/>
              </c:ext>
            </c:extLst>
          </c:dPt>
          <c:dPt>
            <c:idx val="134"/>
            <c:marker>
              <c:spPr>
                <a:solidFill>
                  <a:srgbClr val="D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6-83C8-41BD-8277-39864550EC1C}"/>
              </c:ext>
            </c:extLst>
          </c:dPt>
          <c:dPt>
            <c:idx val="135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7-83C8-41BD-8277-39864550EC1C}"/>
              </c:ext>
            </c:extLst>
          </c:dPt>
          <c:dPt>
            <c:idx val="136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8-83C8-41BD-8277-39864550EC1C}"/>
              </c:ext>
            </c:extLst>
          </c:dPt>
          <c:dPt>
            <c:idx val="137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9-83C8-41BD-8277-39864550EC1C}"/>
              </c:ext>
            </c:extLst>
          </c:dPt>
          <c:dPt>
            <c:idx val="138"/>
            <c:marker>
              <c:spPr>
                <a:solidFill>
                  <a:srgbClr val="D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A-83C8-41BD-8277-39864550EC1C}"/>
              </c:ext>
            </c:extLst>
          </c:dPt>
          <c:dPt>
            <c:idx val="139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B-83C8-41BD-8277-39864550EC1C}"/>
              </c:ext>
            </c:extLst>
          </c:dPt>
          <c:dPt>
            <c:idx val="140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C-83C8-41BD-8277-39864550EC1C}"/>
              </c:ext>
            </c:extLst>
          </c:dPt>
          <c:dPt>
            <c:idx val="141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D-83C8-41BD-8277-39864550EC1C}"/>
              </c:ext>
            </c:extLst>
          </c:dPt>
          <c:dPt>
            <c:idx val="142"/>
            <c:marker>
              <c:spPr>
                <a:solidFill>
                  <a:srgbClr val="D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E-83C8-41BD-8277-39864550EC1C}"/>
              </c:ext>
            </c:extLst>
          </c:dPt>
          <c:dPt>
            <c:idx val="143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8F-83C8-41BD-8277-39864550EC1C}"/>
              </c:ext>
            </c:extLst>
          </c:dPt>
          <c:dPt>
            <c:idx val="144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0-83C8-41BD-8277-39864550EC1C}"/>
              </c:ext>
            </c:extLst>
          </c:dPt>
          <c:dPt>
            <c:idx val="145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1-83C8-41BD-8277-39864550EC1C}"/>
              </c:ext>
            </c:extLst>
          </c:dPt>
          <c:dPt>
            <c:idx val="146"/>
            <c:marker>
              <c:spPr>
                <a:solidFill>
                  <a:srgbClr val="D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2-83C8-41BD-8277-39864550EC1C}"/>
              </c:ext>
            </c:extLst>
          </c:dPt>
          <c:dPt>
            <c:idx val="147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3-83C8-41BD-8277-39864550EC1C}"/>
              </c:ext>
            </c:extLst>
          </c:dPt>
          <c:dPt>
            <c:idx val="148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4-83C8-41BD-8277-39864550EC1C}"/>
              </c:ext>
            </c:extLst>
          </c:dPt>
          <c:dPt>
            <c:idx val="149"/>
            <c:marker>
              <c:spPr>
                <a:solidFill>
                  <a:srgbClr val="D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5-83C8-41BD-8277-39864550EC1C}"/>
              </c:ext>
            </c:extLst>
          </c:dPt>
          <c:dPt>
            <c:idx val="150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6-83C8-41BD-8277-39864550EC1C}"/>
              </c:ext>
            </c:extLst>
          </c:dPt>
          <c:dPt>
            <c:idx val="151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7-83C8-41BD-8277-39864550EC1C}"/>
              </c:ext>
            </c:extLst>
          </c:dPt>
          <c:dPt>
            <c:idx val="152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8-83C8-41BD-8277-39864550EC1C}"/>
              </c:ext>
            </c:extLst>
          </c:dPt>
          <c:dPt>
            <c:idx val="153"/>
            <c:marker>
              <c:spPr>
                <a:solidFill>
                  <a:srgbClr val="D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9-83C8-41BD-8277-39864550EC1C}"/>
              </c:ext>
            </c:extLst>
          </c:dPt>
          <c:dPt>
            <c:idx val="154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A-83C8-41BD-8277-39864550EC1C}"/>
              </c:ext>
            </c:extLst>
          </c:dPt>
          <c:dPt>
            <c:idx val="155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B-83C8-41BD-8277-39864550EC1C}"/>
              </c:ext>
            </c:extLst>
          </c:dPt>
          <c:dPt>
            <c:idx val="156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C-83C8-41BD-8277-39864550EC1C}"/>
              </c:ext>
            </c:extLst>
          </c:dPt>
          <c:dPt>
            <c:idx val="157"/>
            <c:marker>
              <c:spPr>
                <a:solidFill>
                  <a:srgbClr val="D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D-83C8-41BD-8277-39864550EC1C}"/>
              </c:ext>
            </c:extLst>
          </c:dPt>
          <c:dPt>
            <c:idx val="158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E-83C8-41BD-8277-39864550EC1C}"/>
              </c:ext>
            </c:extLst>
          </c:dPt>
          <c:dPt>
            <c:idx val="159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9F-83C8-41BD-8277-39864550EC1C}"/>
              </c:ext>
            </c:extLst>
          </c:dPt>
          <c:dPt>
            <c:idx val="160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0-83C8-41BD-8277-39864550EC1C}"/>
              </c:ext>
            </c:extLst>
          </c:dPt>
          <c:dPt>
            <c:idx val="161"/>
            <c:marker>
              <c:spPr>
                <a:solidFill>
                  <a:srgbClr val="D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1-83C8-41BD-8277-39864550EC1C}"/>
              </c:ext>
            </c:extLst>
          </c:dPt>
          <c:dPt>
            <c:idx val="162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2-83C8-41BD-8277-39864550EC1C}"/>
              </c:ext>
            </c:extLst>
          </c:dPt>
          <c:dPt>
            <c:idx val="163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3-83C8-41BD-8277-39864550EC1C}"/>
              </c:ext>
            </c:extLst>
          </c:dPt>
          <c:dPt>
            <c:idx val="164"/>
            <c:marker>
              <c:spPr>
                <a:solidFill>
                  <a:srgbClr val="D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4-83C8-41BD-8277-39864550EC1C}"/>
              </c:ext>
            </c:extLst>
          </c:dPt>
          <c:dPt>
            <c:idx val="165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5-83C8-41BD-8277-39864550EC1C}"/>
              </c:ext>
            </c:extLst>
          </c:dPt>
          <c:dPt>
            <c:idx val="166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6-83C8-41BD-8277-39864550EC1C}"/>
              </c:ext>
            </c:extLst>
          </c:dPt>
          <c:dPt>
            <c:idx val="167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7-83C8-41BD-8277-39864550EC1C}"/>
              </c:ext>
            </c:extLst>
          </c:dPt>
          <c:dPt>
            <c:idx val="168"/>
            <c:marker>
              <c:spPr>
                <a:solidFill>
                  <a:srgbClr val="D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8-83C8-41BD-8277-39864550EC1C}"/>
              </c:ext>
            </c:extLst>
          </c:dPt>
          <c:dPt>
            <c:idx val="169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9-83C8-41BD-8277-39864550EC1C}"/>
              </c:ext>
            </c:extLst>
          </c:dPt>
          <c:dPt>
            <c:idx val="170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A-83C8-41BD-8277-39864550EC1C}"/>
              </c:ext>
            </c:extLst>
          </c:dPt>
          <c:dPt>
            <c:idx val="171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B-83C8-41BD-8277-39864550EC1C}"/>
              </c:ext>
            </c:extLst>
          </c:dPt>
          <c:dPt>
            <c:idx val="172"/>
            <c:marker>
              <c:spPr>
                <a:solidFill>
                  <a:srgbClr val="D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C-83C8-41BD-8277-39864550EC1C}"/>
              </c:ext>
            </c:extLst>
          </c:dPt>
          <c:dPt>
            <c:idx val="173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D-83C8-41BD-8277-39864550EC1C}"/>
              </c:ext>
            </c:extLst>
          </c:dPt>
          <c:dPt>
            <c:idx val="174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E-83C8-41BD-8277-39864550EC1C}"/>
              </c:ext>
            </c:extLst>
          </c:dPt>
          <c:dPt>
            <c:idx val="175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AF-83C8-41BD-8277-39864550EC1C}"/>
              </c:ext>
            </c:extLst>
          </c:dPt>
          <c:dPt>
            <c:idx val="176"/>
            <c:marker>
              <c:spPr>
                <a:solidFill>
                  <a:srgbClr val="D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0-83C8-41BD-8277-39864550EC1C}"/>
              </c:ext>
            </c:extLst>
          </c:dPt>
          <c:dPt>
            <c:idx val="177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1-83C8-41BD-8277-39864550EC1C}"/>
              </c:ext>
            </c:extLst>
          </c:dPt>
          <c:dPt>
            <c:idx val="178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2-83C8-41BD-8277-39864550EC1C}"/>
              </c:ext>
            </c:extLst>
          </c:dPt>
          <c:dPt>
            <c:idx val="179"/>
            <c:marker>
              <c:spPr>
                <a:solidFill>
                  <a:srgbClr val="C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3-83C8-41BD-8277-39864550EC1C}"/>
              </c:ext>
            </c:extLst>
          </c:dPt>
          <c:dPt>
            <c:idx val="180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4-83C8-41BD-8277-39864550EC1C}"/>
              </c:ext>
            </c:extLst>
          </c:dPt>
          <c:dPt>
            <c:idx val="181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5-83C8-41BD-8277-39864550EC1C}"/>
              </c:ext>
            </c:extLst>
          </c:dPt>
          <c:dPt>
            <c:idx val="182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6-83C8-41BD-8277-39864550EC1C}"/>
              </c:ext>
            </c:extLst>
          </c:dPt>
          <c:dPt>
            <c:idx val="183"/>
            <c:marker>
              <c:spPr>
                <a:solidFill>
                  <a:srgbClr val="C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7-83C8-41BD-8277-39864550EC1C}"/>
              </c:ext>
            </c:extLst>
          </c:dPt>
          <c:dPt>
            <c:idx val="184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8-83C8-41BD-8277-39864550EC1C}"/>
              </c:ext>
            </c:extLst>
          </c:dPt>
          <c:dPt>
            <c:idx val="185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9-83C8-41BD-8277-39864550EC1C}"/>
              </c:ext>
            </c:extLst>
          </c:dPt>
          <c:dPt>
            <c:idx val="186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A-83C8-41BD-8277-39864550EC1C}"/>
              </c:ext>
            </c:extLst>
          </c:dPt>
          <c:dPt>
            <c:idx val="187"/>
            <c:marker>
              <c:spPr>
                <a:solidFill>
                  <a:srgbClr val="C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B-83C8-41BD-8277-39864550EC1C}"/>
              </c:ext>
            </c:extLst>
          </c:dPt>
          <c:dPt>
            <c:idx val="188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C-83C8-41BD-8277-39864550EC1C}"/>
              </c:ext>
            </c:extLst>
          </c:dPt>
          <c:dPt>
            <c:idx val="189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D-83C8-41BD-8277-39864550EC1C}"/>
              </c:ext>
            </c:extLst>
          </c:dPt>
          <c:dPt>
            <c:idx val="190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E-83C8-41BD-8277-39864550EC1C}"/>
              </c:ext>
            </c:extLst>
          </c:dPt>
          <c:dPt>
            <c:idx val="191"/>
            <c:marker>
              <c:spPr>
                <a:solidFill>
                  <a:srgbClr val="C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BF-83C8-41BD-8277-39864550EC1C}"/>
              </c:ext>
            </c:extLst>
          </c:dPt>
          <c:dPt>
            <c:idx val="192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0-83C8-41BD-8277-39864550EC1C}"/>
              </c:ext>
            </c:extLst>
          </c:dPt>
          <c:dPt>
            <c:idx val="193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1-83C8-41BD-8277-39864550EC1C}"/>
              </c:ext>
            </c:extLst>
          </c:dPt>
          <c:dPt>
            <c:idx val="194"/>
            <c:marker>
              <c:spPr>
                <a:solidFill>
                  <a:srgbClr val="C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2-83C8-41BD-8277-39864550EC1C}"/>
              </c:ext>
            </c:extLst>
          </c:dPt>
          <c:dPt>
            <c:idx val="195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3-83C8-41BD-8277-39864550EC1C}"/>
              </c:ext>
            </c:extLst>
          </c:dPt>
          <c:dPt>
            <c:idx val="196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4-83C8-41BD-8277-39864550EC1C}"/>
              </c:ext>
            </c:extLst>
          </c:dPt>
          <c:dPt>
            <c:idx val="197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5-83C8-41BD-8277-39864550EC1C}"/>
              </c:ext>
            </c:extLst>
          </c:dPt>
          <c:dPt>
            <c:idx val="198"/>
            <c:marker>
              <c:spPr>
                <a:solidFill>
                  <a:srgbClr val="C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6-83C8-41BD-8277-39864550EC1C}"/>
              </c:ext>
            </c:extLst>
          </c:dPt>
          <c:dPt>
            <c:idx val="199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7-83C8-41BD-8277-39864550EC1C}"/>
              </c:ext>
            </c:extLst>
          </c:dPt>
          <c:dPt>
            <c:idx val="200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8-83C8-41BD-8277-39864550EC1C}"/>
              </c:ext>
            </c:extLst>
          </c:dPt>
          <c:dPt>
            <c:idx val="201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9-83C8-41BD-8277-39864550EC1C}"/>
              </c:ext>
            </c:extLst>
          </c:dPt>
          <c:dPt>
            <c:idx val="202"/>
            <c:marker>
              <c:spPr>
                <a:solidFill>
                  <a:srgbClr val="C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A-83C8-41BD-8277-39864550EC1C}"/>
              </c:ext>
            </c:extLst>
          </c:dPt>
          <c:dPt>
            <c:idx val="203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B-83C8-41BD-8277-39864550EC1C}"/>
              </c:ext>
            </c:extLst>
          </c:dPt>
          <c:dPt>
            <c:idx val="204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C-83C8-41BD-8277-39864550EC1C}"/>
              </c:ext>
            </c:extLst>
          </c:dPt>
          <c:dPt>
            <c:idx val="205"/>
            <c:marker>
              <c:spPr>
                <a:solidFill>
                  <a:srgbClr val="C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D-83C8-41BD-8277-39864550EC1C}"/>
              </c:ext>
            </c:extLst>
          </c:dPt>
          <c:dPt>
            <c:idx val="206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E-83C8-41BD-8277-39864550EC1C}"/>
              </c:ext>
            </c:extLst>
          </c:dPt>
          <c:dPt>
            <c:idx val="207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CF-83C8-41BD-8277-39864550EC1C}"/>
              </c:ext>
            </c:extLst>
          </c:dPt>
          <c:dPt>
            <c:idx val="208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0-83C8-41BD-8277-39864550EC1C}"/>
              </c:ext>
            </c:extLst>
          </c:dPt>
          <c:dPt>
            <c:idx val="209"/>
            <c:marker>
              <c:spPr>
                <a:solidFill>
                  <a:srgbClr val="C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1-83C8-41BD-8277-39864550EC1C}"/>
              </c:ext>
            </c:extLst>
          </c:dPt>
          <c:dPt>
            <c:idx val="210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2-83C8-41BD-8277-39864550EC1C}"/>
              </c:ext>
            </c:extLst>
          </c:dPt>
          <c:dPt>
            <c:idx val="211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3-83C8-41BD-8277-39864550EC1C}"/>
              </c:ext>
            </c:extLst>
          </c:dPt>
          <c:dPt>
            <c:idx val="212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4-83C8-41BD-8277-39864550EC1C}"/>
              </c:ext>
            </c:extLst>
          </c:dPt>
          <c:dPt>
            <c:idx val="213"/>
            <c:marker>
              <c:spPr>
                <a:solidFill>
                  <a:srgbClr val="C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5-83C8-41BD-8277-39864550EC1C}"/>
              </c:ext>
            </c:extLst>
          </c:dPt>
          <c:dPt>
            <c:idx val="214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6-83C8-41BD-8277-39864550EC1C}"/>
              </c:ext>
            </c:extLst>
          </c:dPt>
          <c:dPt>
            <c:idx val="215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7-83C8-41BD-8277-39864550EC1C}"/>
              </c:ext>
            </c:extLst>
          </c:dPt>
          <c:dPt>
            <c:idx val="216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8-83C8-41BD-8277-39864550EC1C}"/>
              </c:ext>
            </c:extLst>
          </c:dPt>
          <c:dPt>
            <c:idx val="217"/>
            <c:marker>
              <c:spPr>
                <a:solidFill>
                  <a:srgbClr val="C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9-83C8-41BD-8277-39864550EC1C}"/>
              </c:ext>
            </c:extLst>
          </c:dPt>
          <c:dPt>
            <c:idx val="218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A-83C8-41BD-8277-39864550EC1C}"/>
              </c:ext>
            </c:extLst>
          </c:dPt>
          <c:dPt>
            <c:idx val="219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B-83C8-41BD-8277-39864550EC1C}"/>
              </c:ext>
            </c:extLst>
          </c:dPt>
          <c:dPt>
            <c:idx val="220"/>
            <c:marker>
              <c:spPr>
                <a:solidFill>
                  <a:srgbClr val="C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C-83C8-41BD-8277-39864550EC1C}"/>
              </c:ext>
            </c:extLst>
          </c:dPt>
          <c:dPt>
            <c:idx val="221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D-83C8-41BD-8277-39864550EC1C}"/>
              </c:ext>
            </c:extLst>
          </c:dPt>
          <c:dPt>
            <c:idx val="222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E-83C8-41BD-8277-39864550EC1C}"/>
              </c:ext>
            </c:extLst>
          </c:dPt>
          <c:dPt>
            <c:idx val="223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DF-83C8-41BD-8277-39864550EC1C}"/>
              </c:ext>
            </c:extLst>
          </c:dPt>
          <c:dPt>
            <c:idx val="224"/>
            <c:marker>
              <c:spPr>
                <a:solidFill>
                  <a:srgbClr val="C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0-83C8-41BD-8277-39864550EC1C}"/>
              </c:ext>
            </c:extLst>
          </c:dPt>
          <c:dPt>
            <c:idx val="225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1-83C8-41BD-8277-39864550EC1C}"/>
              </c:ext>
            </c:extLst>
          </c:dPt>
          <c:dPt>
            <c:idx val="226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2-83C8-41BD-8277-39864550EC1C}"/>
              </c:ext>
            </c:extLst>
          </c:dPt>
          <c:dPt>
            <c:idx val="227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3-83C8-41BD-8277-39864550EC1C}"/>
              </c:ext>
            </c:extLst>
          </c:dPt>
          <c:dPt>
            <c:idx val="228"/>
            <c:marker>
              <c:spPr>
                <a:solidFill>
                  <a:srgbClr val="C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4-83C8-41BD-8277-39864550EC1C}"/>
              </c:ext>
            </c:extLst>
          </c:dPt>
          <c:dPt>
            <c:idx val="229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5-83C8-41BD-8277-39864550EC1C}"/>
              </c:ext>
            </c:extLst>
          </c:dPt>
          <c:dPt>
            <c:idx val="230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6-83C8-41BD-8277-39864550EC1C}"/>
              </c:ext>
            </c:extLst>
          </c:dPt>
          <c:dPt>
            <c:idx val="231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7-83C8-41BD-8277-39864550EC1C}"/>
              </c:ext>
            </c:extLst>
          </c:dPt>
          <c:dPt>
            <c:idx val="232"/>
            <c:marker>
              <c:spPr>
                <a:solidFill>
                  <a:srgbClr val="C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8-83C8-41BD-8277-39864550EC1C}"/>
              </c:ext>
            </c:extLst>
          </c:dPt>
          <c:dPt>
            <c:idx val="233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9-83C8-41BD-8277-39864550EC1C}"/>
              </c:ext>
            </c:extLst>
          </c:dPt>
          <c:dPt>
            <c:idx val="234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A-83C8-41BD-8277-39864550EC1C}"/>
              </c:ext>
            </c:extLst>
          </c:dPt>
          <c:dPt>
            <c:idx val="235"/>
            <c:marker>
              <c:spPr>
                <a:solidFill>
                  <a:srgbClr val="C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B-83C8-41BD-8277-39864550EC1C}"/>
              </c:ext>
            </c:extLst>
          </c:dPt>
          <c:dPt>
            <c:idx val="236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C-83C8-41BD-8277-39864550EC1C}"/>
              </c:ext>
            </c:extLst>
          </c:dPt>
          <c:dPt>
            <c:idx val="237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D-83C8-41BD-8277-39864550EC1C}"/>
              </c:ext>
            </c:extLst>
          </c:dPt>
          <c:dPt>
            <c:idx val="238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E-83C8-41BD-8277-39864550EC1C}"/>
              </c:ext>
            </c:extLst>
          </c:dPt>
          <c:dPt>
            <c:idx val="239"/>
            <c:marker>
              <c:spPr>
                <a:solidFill>
                  <a:srgbClr val="B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EF-83C8-41BD-8277-39864550EC1C}"/>
              </c:ext>
            </c:extLst>
          </c:dPt>
          <c:dPt>
            <c:idx val="240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0-83C8-41BD-8277-39864550EC1C}"/>
              </c:ext>
            </c:extLst>
          </c:dPt>
          <c:dPt>
            <c:idx val="241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1-83C8-41BD-8277-39864550EC1C}"/>
              </c:ext>
            </c:extLst>
          </c:dPt>
          <c:dPt>
            <c:idx val="242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2-83C8-41BD-8277-39864550EC1C}"/>
              </c:ext>
            </c:extLst>
          </c:dPt>
          <c:dPt>
            <c:idx val="243"/>
            <c:marker>
              <c:spPr>
                <a:solidFill>
                  <a:srgbClr val="B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3-83C8-41BD-8277-39864550EC1C}"/>
              </c:ext>
            </c:extLst>
          </c:dPt>
          <c:dPt>
            <c:idx val="244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4-83C8-41BD-8277-39864550EC1C}"/>
              </c:ext>
            </c:extLst>
          </c:dPt>
          <c:dPt>
            <c:idx val="245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5-83C8-41BD-8277-39864550EC1C}"/>
              </c:ext>
            </c:extLst>
          </c:dPt>
          <c:dPt>
            <c:idx val="246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6-83C8-41BD-8277-39864550EC1C}"/>
              </c:ext>
            </c:extLst>
          </c:dPt>
          <c:dPt>
            <c:idx val="247"/>
            <c:marker>
              <c:spPr>
                <a:solidFill>
                  <a:srgbClr val="B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7-83C8-41BD-8277-39864550EC1C}"/>
              </c:ext>
            </c:extLst>
          </c:dPt>
          <c:dPt>
            <c:idx val="248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8-83C8-41BD-8277-39864550EC1C}"/>
              </c:ext>
            </c:extLst>
          </c:dPt>
          <c:dPt>
            <c:idx val="249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9-83C8-41BD-8277-39864550EC1C}"/>
              </c:ext>
            </c:extLst>
          </c:dPt>
          <c:dPt>
            <c:idx val="250"/>
            <c:marker>
              <c:spPr>
                <a:solidFill>
                  <a:srgbClr val="B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A-83C8-41BD-8277-39864550EC1C}"/>
              </c:ext>
            </c:extLst>
          </c:dPt>
          <c:dPt>
            <c:idx val="251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B-83C8-41BD-8277-39864550EC1C}"/>
              </c:ext>
            </c:extLst>
          </c:dPt>
          <c:dPt>
            <c:idx val="252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C-83C8-41BD-8277-39864550EC1C}"/>
              </c:ext>
            </c:extLst>
          </c:dPt>
          <c:dPt>
            <c:idx val="253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D-83C8-41BD-8277-39864550EC1C}"/>
              </c:ext>
            </c:extLst>
          </c:dPt>
          <c:dPt>
            <c:idx val="254"/>
            <c:marker>
              <c:spPr>
                <a:solidFill>
                  <a:srgbClr val="B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E-83C8-41BD-8277-39864550EC1C}"/>
              </c:ext>
            </c:extLst>
          </c:dPt>
          <c:dPt>
            <c:idx val="255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FF-83C8-41BD-8277-39864550EC1C}"/>
              </c:ext>
            </c:extLst>
          </c:dPt>
          <c:dPt>
            <c:idx val="256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0-83C8-41BD-8277-39864550EC1C}"/>
              </c:ext>
            </c:extLst>
          </c:dPt>
          <c:dPt>
            <c:idx val="257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1-83C8-41BD-8277-39864550EC1C}"/>
              </c:ext>
            </c:extLst>
          </c:dPt>
          <c:dPt>
            <c:idx val="258"/>
            <c:marker>
              <c:spPr>
                <a:solidFill>
                  <a:srgbClr val="B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2-83C8-41BD-8277-39864550EC1C}"/>
              </c:ext>
            </c:extLst>
          </c:dPt>
          <c:dPt>
            <c:idx val="259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3-83C8-41BD-8277-39864550EC1C}"/>
              </c:ext>
            </c:extLst>
          </c:dPt>
          <c:dPt>
            <c:idx val="260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4-83C8-41BD-8277-39864550EC1C}"/>
              </c:ext>
            </c:extLst>
          </c:dPt>
          <c:dPt>
            <c:idx val="261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5-83C8-41BD-8277-39864550EC1C}"/>
              </c:ext>
            </c:extLst>
          </c:dPt>
          <c:dPt>
            <c:idx val="262"/>
            <c:marker>
              <c:spPr>
                <a:solidFill>
                  <a:srgbClr val="B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6-83C8-41BD-8277-39864550EC1C}"/>
              </c:ext>
            </c:extLst>
          </c:dPt>
          <c:dPt>
            <c:idx val="263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7-83C8-41BD-8277-39864550EC1C}"/>
              </c:ext>
            </c:extLst>
          </c:dPt>
          <c:dPt>
            <c:idx val="264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8-83C8-41BD-8277-39864550EC1C}"/>
              </c:ext>
            </c:extLst>
          </c:dPt>
          <c:dPt>
            <c:idx val="265"/>
            <c:marker>
              <c:spPr>
                <a:solidFill>
                  <a:srgbClr val="B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9-83C8-41BD-8277-39864550EC1C}"/>
              </c:ext>
            </c:extLst>
          </c:dPt>
          <c:dPt>
            <c:idx val="266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A-83C8-41BD-8277-39864550EC1C}"/>
              </c:ext>
            </c:extLst>
          </c:dPt>
          <c:dPt>
            <c:idx val="267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B-83C8-41BD-8277-39864550EC1C}"/>
              </c:ext>
            </c:extLst>
          </c:dPt>
          <c:dPt>
            <c:idx val="268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C-83C8-41BD-8277-39864550EC1C}"/>
              </c:ext>
            </c:extLst>
          </c:dPt>
          <c:dPt>
            <c:idx val="269"/>
            <c:marker>
              <c:spPr>
                <a:solidFill>
                  <a:srgbClr val="B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D-83C8-41BD-8277-39864550EC1C}"/>
              </c:ext>
            </c:extLst>
          </c:dPt>
          <c:dPt>
            <c:idx val="270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E-83C8-41BD-8277-39864550EC1C}"/>
              </c:ext>
            </c:extLst>
          </c:dPt>
          <c:dPt>
            <c:idx val="271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0F-83C8-41BD-8277-39864550EC1C}"/>
              </c:ext>
            </c:extLst>
          </c:dPt>
          <c:dPt>
            <c:idx val="272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0-83C8-41BD-8277-39864550EC1C}"/>
              </c:ext>
            </c:extLst>
          </c:dPt>
          <c:dPt>
            <c:idx val="273"/>
            <c:marker>
              <c:spPr>
                <a:solidFill>
                  <a:srgbClr val="B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1-83C8-41BD-8277-39864550EC1C}"/>
              </c:ext>
            </c:extLst>
          </c:dPt>
          <c:dPt>
            <c:idx val="274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2-83C8-41BD-8277-39864550EC1C}"/>
              </c:ext>
            </c:extLst>
          </c:dPt>
          <c:dPt>
            <c:idx val="275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3-83C8-41BD-8277-39864550EC1C}"/>
              </c:ext>
            </c:extLst>
          </c:dPt>
          <c:dPt>
            <c:idx val="276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4-83C8-41BD-8277-39864550EC1C}"/>
              </c:ext>
            </c:extLst>
          </c:dPt>
          <c:dPt>
            <c:idx val="277"/>
            <c:marker>
              <c:spPr>
                <a:solidFill>
                  <a:srgbClr val="B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5-83C8-41BD-8277-39864550EC1C}"/>
              </c:ext>
            </c:extLst>
          </c:dPt>
          <c:dPt>
            <c:idx val="278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6-83C8-41BD-8277-39864550EC1C}"/>
              </c:ext>
            </c:extLst>
          </c:dPt>
          <c:dPt>
            <c:idx val="279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7-83C8-41BD-8277-39864550EC1C}"/>
              </c:ext>
            </c:extLst>
          </c:dPt>
          <c:dPt>
            <c:idx val="280"/>
            <c:marker>
              <c:spPr>
                <a:solidFill>
                  <a:srgbClr val="B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8-83C8-41BD-8277-39864550EC1C}"/>
              </c:ext>
            </c:extLst>
          </c:dPt>
          <c:dPt>
            <c:idx val="281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9-83C8-41BD-8277-39864550EC1C}"/>
              </c:ext>
            </c:extLst>
          </c:dPt>
          <c:dPt>
            <c:idx val="282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A-83C8-41BD-8277-39864550EC1C}"/>
              </c:ext>
            </c:extLst>
          </c:dPt>
          <c:dPt>
            <c:idx val="283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B-83C8-41BD-8277-39864550EC1C}"/>
              </c:ext>
            </c:extLst>
          </c:dPt>
          <c:dPt>
            <c:idx val="284"/>
            <c:marker>
              <c:spPr>
                <a:solidFill>
                  <a:srgbClr val="B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C-83C8-41BD-8277-39864550EC1C}"/>
              </c:ext>
            </c:extLst>
          </c:dPt>
          <c:dPt>
            <c:idx val="285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D-83C8-41BD-8277-39864550EC1C}"/>
              </c:ext>
            </c:extLst>
          </c:dPt>
          <c:dPt>
            <c:idx val="286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E-83C8-41BD-8277-39864550EC1C}"/>
              </c:ext>
            </c:extLst>
          </c:dPt>
          <c:dPt>
            <c:idx val="287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1F-83C8-41BD-8277-39864550EC1C}"/>
              </c:ext>
            </c:extLst>
          </c:dPt>
          <c:dPt>
            <c:idx val="288"/>
            <c:marker>
              <c:spPr>
                <a:solidFill>
                  <a:srgbClr val="B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0-83C8-41BD-8277-39864550EC1C}"/>
              </c:ext>
            </c:extLst>
          </c:dPt>
          <c:dPt>
            <c:idx val="289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1-83C8-41BD-8277-39864550EC1C}"/>
              </c:ext>
            </c:extLst>
          </c:dPt>
          <c:dPt>
            <c:idx val="290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2-83C8-41BD-8277-39864550EC1C}"/>
              </c:ext>
            </c:extLst>
          </c:dPt>
          <c:dPt>
            <c:idx val="291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3-83C8-41BD-8277-39864550EC1C}"/>
              </c:ext>
            </c:extLst>
          </c:dPt>
          <c:dPt>
            <c:idx val="292"/>
            <c:marker>
              <c:spPr>
                <a:solidFill>
                  <a:srgbClr val="B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4-83C8-41BD-8277-39864550EC1C}"/>
              </c:ext>
            </c:extLst>
          </c:dPt>
          <c:dPt>
            <c:idx val="293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5-83C8-41BD-8277-39864550EC1C}"/>
              </c:ext>
            </c:extLst>
          </c:dPt>
          <c:dPt>
            <c:idx val="294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6-83C8-41BD-8277-39864550EC1C}"/>
              </c:ext>
            </c:extLst>
          </c:dPt>
          <c:dPt>
            <c:idx val="295"/>
            <c:marker>
              <c:spPr>
                <a:solidFill>
                  <a:srgbClr val="B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7-83C8-41BD-8277-39864550EC1C}"/>
              </c:ext>
            </c:extLst>
          </c:dPt>
          <c:dPt>
            <c:idx val="296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8-83C8-41BD-8277-39864550EC1C}"/>
              </c:ext>
            </c:extLst>
          </c:dPt>
          <c:dPt>
            <c:idx val="297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9-83C8-41BD-8277-39864550EC1C}"/>
              </c:ext>
            </c:extLst>
          </c:dPt>
          <c:dPt>
            <c:idx val="298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A-83C8-41BD-8277-39864550EC1C}"/>
              </c:ext>
            </c:extLst>
          </c:dPt>
          <c:dPt>
            <c:idx val="299"/>
            <c:marker>
              <c:spPr>
                <a:solidFill>
                  <a:srgbClr val="A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B-83C8-41BD-8277-39864550EC1C}"/>
              </c:ext>
            </c:extLst>
          </c:dPt>
          <c:dPt>
            <c:idx val="300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C-83C8-41BD-8277-39864550EC1C}"/>
              </c:ext>
            </c:extLst>
          </c:dPt>
          <c:dPt>
            <c:idx val="301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D-83C8-41BD-8277-39864550EC1C}"/>
              </c:ext>
            </c:extLst>
          </c:dPt>
          <c:dPt>
            <c:idx val="302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E-83C8-41BD-8277-39864550EC1C}"/>
              </c:ext>
            </c:extLst>
          </c:dPt>
          <c:dPt>
            <c:idx val="303"/>
            <c:marker>
              <c:spPr>
                <a:solidFill>
                  <a:srgbClr val="A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2F-83C8-41BD-8277-39864550EC1C}"/>
              </c:ext>
            </c:extLst>
          </c:dPt>
          <c:dPt>
            <c:idx val="304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0-83C8-41BD-8277-39864550EC1C}"/>
              </c:ext>
            </c:extLst>
          </c:dPt>
          <c:dPt>
            <c:idx val="305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1-83C8-41BD-8277-39864550EC1C}"/>
              </c:ext>
            </c:extLst>
          </c:dPt>
          <c:dPt>
            <c:idx val="306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2-83C8-41BD-8277-39864550EC1C}"/>
              </c:ext>
            </c:extLst>
          </c:dPt>
          <c:dPt>
            <c:idx val="307"/>
            <c:marker>
              <c:spPr>
                <a:solidFill>
                  <a:srgbClr val="A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3-83C8-41BD-8277-39864550EC1C}"/>
              </c:ext>
            </c:extLst>
          </c:dPt>
          <c:dPt>
            <c:idx val="308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4-83C8-41BD-8277-39864550EC1C}"/>
              </c:ext>
            </c:extLst>
          </c:dPt>
          <c:dPt>
            <c:idx val="309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5-83C8-41BD-8277-39864550EC1C}"/>
              </c:ext>
            </c:extLst>
          </c:dPt>
          <c:dPt>
            <c:idx val="310"/>
            <c:marker>
              <c:spPr>
                <a:solidFill>
                  <a:srgbClr val="A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6-83C8-41BD-8277-39864550EC1C}"/>
              </c:ext>
            </c:extLst>
          </c:dPt>
          <c:dPt>
            <c:idx val="311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7-83C8-41BD-8277-39864550EC1C}"/>
              </c:ext>
            </c:extLst>
          </c:dPt>
          <c:dPt>
            <c:idx val="312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8-83C8-41BD-8277-39864550EC1C}"/>
              </c:ext>
            </c:extLst>
          </c:dPt>
          <c:dPt>
            <c:idx val="313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9-83C8-41BD-8277-39864550EC1C}"/>
              </c:ext>
            </c:extLst>
          </c:dPt>
          <c:dPt>
            <c:idx val="314"/>
            <c:marker>
              <c:spPr>
                <a:solidFill>
                  <a:srgbClr val="A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A-83C8-41BD-8277-39864550EC1C}"/>
              </c:ext>
            </c:extLst>
          </c:dPt>
          <c:dPt>
            <c:idx val="315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B-83C8-41BD-8277-39864550EC1C}"/>
              </c:ext>
            </c:extLst>
          </c:dPt>
          <c:dPt>
            <c:idx val="316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C-83C8-41BD-8277-39864550EC1C}"/>
              </c:ext>
            </c:extLst>
          </c:dPt>
          <c:dPt>
            <c:idx val="317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D-83C8-41BD-8277-39864550EC1C}"/>
              </c:ext>
            </c:extLst>
          </c:dPt>
          <c:dPt>
            <c:idx val="318"/>
            <c:marker>
              <c:spPr>
                <a:solidFill>
                  <a:srgbClr val="A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E-83C8-41BD-8277-39864550EC1C}"/>
              </c:ext>
            </c:extLst>
          </c:dPt>
          <c:dPt>
            <c:idx val="319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3F-83C8-41BD-8277-39864550EC1C}"/>
              </c:ext>
            </c:extLst>
          </c:dPt>
          <c:dPt>
            <c:idx val="320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0-83C8-41BD-8277-39864550EC1C}"/>
              </c:ext>
            </c:extLst>
          </c:dPt>
          <c:dPt>
            <c:idx val="321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1-83C8-41BD-8277-39864550EC1C}"/>
              </c:ext>
            </c:extLst>
          </c:dPt>
          <c:dPt>
            <c:idx val="322"/>
            <c:marker>
              <c:spPr>
                <a:solidFill>
                  <a:srgbClr val="A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2-83C8-41BD-8277-39864550EC1C}"/>
              </c:ext>
            </c:extLst>
          </c:dPt>
          <c:dPt>
            <c:idx val="323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3-83C8-41BD-8277-39864550EC1C}"/>
              </c:ext>
            </c:extLst>
          </c:dPt>
          <c:dPt>
            <c:idx val="324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4-83C8-41BD-8277-39864550EC1C}"/>
              </c:ext>
            </c:extLst>
          </c:dPt>
          <c:dPt>
            <c:idx val="325"/>
            <c:marker>
              <c:spPr>
                <a:solidFill>
                  <a:srgbClr val="A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5-83C8-41BD-8277-39864550EC1C}"/>
              </c:ext>
            </c:extLst>
          </c:dPt>
          <c:dPt>
            <c:idx val="326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6-83C8-41BD-8277-39864550EC1C}"/>
              </c:ext>
            </c:extLst>
          </c:dPt>
          <c:dPt>
            <c:idx val="327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7-83C8-41BD-8277-39864550EC1C}"/>
              </c:ext>
            </c:extLst>
          </c:dPt>
          <c:dPt>
            <c:idx val="328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8-83C8-41BD-8277-39864550EC1C}"/>
              </c:ext>
            </c:extLst>
          </c:dPt>
          <c:dPt>
            <c:idx val="329"/>
            <c:marker>
              <c:spPr>
                <a:solidFill>
                  <a:srgbClr val="A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9-83C8-41BD-8277-39864550EC1C}"/>
              </c:ext>
            </c:extLst>
          </c:dPt>
          <c:dPt>
            <c:idx val="330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A-83C8-41BD-8277-39864550EC1C}"/>
              </c:ext>
            </c:extLst>
          </c:dPt>
          <c:dPt>
            <c:idx val="331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B-83C8-41BD-8277-39864550EC1C}"/>
              </c:ext>
            </c:extLst>
          </c:dPt>
          <c:dPt>
            <c:idx val="332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C-83C8-41BD-8277-39864550EC1C}"/>
              </c:ext>
            </c:extLst>
          </c:dPt>
          <c:dPt>
            <c:idx val="333"/>
            <c:marker>
              <c:spPr>
                <a:solidFill>
                  <a:srgbClr val="A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D-83C8-41BD-8277-39864550EC1C}"/>
              </c:ext>
            </c:extLst>
          </c:dPt>
          <c:dPt>
            <c:idx val="334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E-83C8-41BD-8277-39864550EC1C}"/>
              </c:ext>
            </c:extLst>
          </c:dPt>
          <c:dPt>
            <c:idx val="335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4F-83C8-41BD-8277-39864550EC1C}"/>
              </c:ext>
            </c:extLst>
          </c:dPt>
          <c:dPt>
            <c:idx val="336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0-83C8-41BD-8277-39864550EC1C}"/>
              </c:ext>
            </c:extLst>
          </c:dPt>
          <c:dPt>
            <c:idx val="337"/>
            <c:marker>
              <c:spPr>
                <a:solidFill>
                  <a:srgbClr val="A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1-83C8-41BD-8277-39864550EC1C}"/>
              </c:ext>
            </c:extLst>
          </c:dPt>
          <c:dPt>
            <c:idx val="338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2-83C8-41BD-8277-39864550EC1C}"/>
              </c:ext>
            </c:extLst>
          </c:dPt>
          <c:dPt>
            <c:idx val="339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3-83C8-41BD-8277-39864550EC1C}"/>
              </c:ext>
            </c:extLst>
          </c:dPt>
          <c:dPt>
            <c:idx val="340"/>
            <c:marker>
              <c:spPr>
                <a:solidFill>
                  <a:srgbClr val="A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4-83C8-41BD-8277-39864550EC1C}"/>
              </c:ext>
            </c:extLst>
          </c:dPt>
          <c:dPt>
            <c:idx val="341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5-83C8-41BD-8277-39864550EC1C}"/>
              </c:ext>
            </c:extLst>
          </c:dPt>
          <c:dPt>
            <c:idx val="342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6-83C8-41BD-8277-39864550EC1C}"/>
              </c:ext>
            </c:extLst>
          </c:dPt>
          <c:dPt>
            <c:idx val="343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7-83C8-41BD-8277-39864550EC1C}"/>
              </c:ext>
            </c:extLst>
          </c:dPt>
          <c:dPt>
            <c:idx val="344"/>
            <c:marker>
              <c:spPr>
                <a:solidFill>
                  <a:srgbClr val="A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8-83C8-41BD-8277-39864550EC1C}"/>
              </c:ext>
            </c:extLst>
          </c:dPt>
          <c:dPt>
            <c:idx val="345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9-83C8-41BD-8277-39864550EC1C}"/>
              </c:ext>
            </c:extLst>
          </c:dPt>
          <c:dPt>
            <c:idx val="346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A-83C8-41BD-8277-39864550EC1C}"/>
              </c:ext>
            </c:extLst>
          </c:dPt>
          <c:dPt>
            <c:idx val="347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B-83C8-41BD-8277-39864550EC1C}"/>
              </c:ext>
            </c:extLst>
          </c:dPt>
          <c:dPt>
            <c:idx val="348"/>
            <c:marker>
              <c:spPr>
                <a:solidFill>
                  <a:srgbClr val="A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C-83C8-41BD-8277-39864550EC1C}"/>
              </c:ext>
            </c:extLst>
          </c:dPt>
          <c:dPt>
            <c:idx val="349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D-83C8-41BD-8277-39864550EC1C}"/>
              </c:ext>
            </c:extLst>
          </c:dPt>
          <c:dPt>
            <c:idx val="350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E-83C8-41BD-8277-39864550EC1C}"/>
              </c:ext>
            </c:extLst>
          </c:dPt>
          <c:dPt>
            <c:idx val="351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5F-83C8-41BD-8277-39864550EC1C}"/>
              </c:ext>
            </c:extLst>
          </c:dPt>
          <c:dPt>
            <c:idx val="352"/>
            <c:marker>
              <c:spPr>
                <a:solidFill>
                  <a:srgbClr val="A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0-83C8-41BD-8277-39864550EC1C}"/>
              </c:ext>
            </c:extLst>
          </c:dPt>
          <c:dPt>
            <c:idx val="353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1-83C8-41BD-8277-39864550EC1C}"/>
              </c:ext>
            </c:extLst>
          </c:dPt>
          <c:dPt>
            <c:idx val="354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2-83C8-41BD-8277-39864550EC1C}"/>
              </c:ext>
            </c:extLst>
          </c:dPt>
          <c:dPt>
            <c:idx val="355"/>
            <c:marker>
              <c:spPr>
                <a:solidFill>
                  <a:srgbClr val="A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3-83C8-41BD-8277-39864550EC1C}"/>
              </c:ext>
            </c:extLst>
          </c:dPt>
          <c:dPt>
            <c:idx val="356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4-83C8-41BD-8277-39864550EC1C}"/>
              </c:ext>
            </c:extLst>
          </c:dPt>
          <c:dPt>
            <c:idx val="357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5-83C8-41BD-8277-39864550EC1C}"/>
              </c:ext>
            </c:extLst>
          </c:dPt>
          <c:dPt>
            <c:idx val="358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6-83C8-41BD-8277-39864550EC1C}"/>
              </c:ext>
            </c:extLst>
          </c:dPt>
          <c:dPt>
            <c:idx val="359"/>
            <c:marker>
              <c:spPr>
                <a:solidFill>
                  <a:srgbClr val="9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7-83C8-41BD-8277-39864550EC1C}"/>
              </c:ext>
            </c:extLst>
          </c:dPt>
          <c:dPt>
            <c:idx val="360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8-83C8-41BD-8277-39864550EC1C}"/>
              </c:ext>
            </c:extLst>
          </c:dPt>
          <c:dPt>
            <c:idx val="361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9-83C8-41BD-8277-39864550EC1C}"/>
              </c:ext>
            </c:extLst>
          </c:dPt>
          <c:dPt>
            <c:idx val="362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A-83C8-41BD-8277-39864550EC1C}"/>
              </c:ext>
            </c:extLst>
          </c:dPt>
          <c:dPt>
            <c:idx val="363"/>
            <c:marker>
              <c:spPr>
                <a:solidFill>
                  <a:srgbClr val="9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B-83C8-41BD-8277-39864550EC1C}"/>
              </c:ext>
            </c:extLst>
          </c:dPt>
          <c:dPt>
            <c:idx val="364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C-83C8-41BD-8277-39864550EC1C}"/>
              </c:ext>
            </c:extLst>
          </c:dPt>
          <c:dPt>
            <c:idx val="365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D-83C8-41BD-8277-39864550EC1C}"/>
              </c:ext>
            </c:extLst>
          </c:dPt>
          <c:dPt>
            <c:idx val="366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E-83C8-41BD-8277-39864550EC1C}"/>
              </c:ext>
            </c:extLst>
          </c:dPt>
          <c:dPt>
            <c:idx val="367"/>
            <c:marker>
              <c:spPr>
                <a:solidFill>
                  <a:srgbClr val="9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6F-83C8-41BD-8277-39864550EC1C}"/>
              </c:ext>
            </c:extLst>
          </c:dPt>
          <c:dPt>
            <c:idx val="368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0-83C8-41BD-8277-39864550EC1C}"/>
              </c:ext>
            </c:extLst>
          </c:dPt>
          <c:dPt>
            <c:idx val="369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1-83C8-41BD-8277-39864550EC1C}"/>
              </c:ext>
            </c:extLst>
          </c:dPt>
          <c:dPt>
            <c:idx val="370"/>
            <c:marker>
              <c:spPr>
                <a:solidFill>
                  <a:srgbClr val="9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2-83C8-41BD-8277-39864550EC1C}"/>
              </c:ext>
            </c:extLst>
          </c:dPt>
          <c:dPt>
            <c:idx val="371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3-83C8-41BD-8277-39864550EC1C}"/>
              </c:ext>
            </c:extLst>
          </c:dPt>
          <c:dPt>
            <c:idx val="372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4-83C8-41BD-8277-39864550EC1C}"/>
              </c:ext>
            </c:extLst>
          </c:dPt>
          <c:dPt>
            <c:idx val="373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5-83C8-41BD-8277-39864550EC1C}"/>
              </c:ext>
            </c:extLst>
          </c:dPt>
          <c:dPt>
            <c:idx val="374"/>
            <c:marker>
              <c:spPr>
                <a:solidFill>
                  <a:srgbClr val="9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6-83C8-41BD-8277-39864550EC1C}"/>
              </c:ext>
            </c:extLst>
          </c:dPt>
          <c:dPt>
            <c:idx val="375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7-83C8-41BD-8277-39864550EC1C}"/>
              </c:ext>
            </c:extLst>
          </c:dPt>
          <c:dPt>
            <c:idx val="376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8-83C8-41BD-8277-39864550EC1C}"/>
              </c:ext>
            </c:extLst>
          </c:dPt>
          <c:dPt>
            <c:idx val="377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9-83C8-41BD-8277-39864550EC1C}"/>
              </c:ext>
            </c:extLst>
          </c:dPt>
          <c:dPt>
            <c:idx val="378"/>
            <c:marker>
              <c:spPr>
                <a:solidFill>
                  <a:srgbClr val="9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A-83C8-41BD-8277-39864550EC1C}"/>
              </c:ext>
            </c:extLst>
          </c:dPt>
          <c:dPt>
            <c:idx val="379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B-83C8-41BD-8277-39864550EC1C}"/>
              </c:ext>
            </c:extLst>
          </c:dPt>
          <c:dPt>
            <c:idx val="380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C-83C8-41BD-8277-39864550EC1C}"/>
              </c:ext>
            </c:extLst>
          </c:dPt>
          <c:dPt>
            <c:idx val="381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D-83C8-41BD-8277-39864550EC1C}"/>
              </c:ext>
            </c:extLst>
          </c:dPt>
          <c:dPt>
            <c:idx val="382"/>
            <c:marker>
              <c:spPr>
                <a:solidFill>
                  <a:srgbClr val="9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E-83C8-41BD-8277-39864550EC1C}"/>
              </c:ext>
            </c:extLst>
          </c:dPt>
          <c:dPt>
            <c:idx val="383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7F-83C8-41BD-8277-39864550EC1C}"/>
              </c:ext>
            </c:extLst>
          </c:dPt>
          <c:dPt>
            <c:idx val="384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0-83C8-41BD-8277-39864550EC1C}"/>
              </c:ext>
            </c:extLst>
          </c:dPt>
          <c:dPt>
            <c:idx val="385"/>
            <c:marker>
              <c:spPr>
                <a:solidFill>
                  <a:srgbClr val="9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1-83C8-41BD-8277-39864550EC1C}"/>
              </c:ext>
            </c:extLst>
          </c:dPt>
          <c:dPt>
            <c:idx val="386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2-83C8-41BD-8277-39864550EC1C}"/>
              </c:ext>
            </c:extLst>
          </c:dPt>
          <c:dPt>
            <c:idx val="387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3-83C8-41BD-8277-39864550EC1C}"/>
              </c:ext>
            </c:extLst>
          </c:dPt>
          <c:dPt>
            <c:idx val="388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4-83C8-41BD-8277-39864550EC1C}"/>
              </c:ext>
            </c:extLst>
          </c:dPt>
          <c:dPt>
            <c:idx val="389"/>
            <c:marker>
              <c:spPr>
                <a:solidFill>
                  <a:srgbClr val="9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5-83C8-41BD-8277-39864550EC1C}"/>
              </c:ext>
            </c:extLst>
          </c:dPt>
          <c:dPt>
            <c:idx val="390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6-83C8-41BD-8277-39864550EC1C}"/>
              </c:ext>
            </c:extLst>
          </c:dPt>
          <c:dPt>
            <c:idx val="391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7-83C8-41BD-8277-39864550EC1C}"/>
              </c:ext>
            </c:extLst>
          </c:dPt>
          <c:dPt>
            <c:idx val="392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8-83C8-41BD-8277-39864550EC1C}"/>
              </c:ext>
            </c:extLst>
          </c:dPt>
          <c:dPt>
            <c:idx val="393"/>
            <c:marker>
              <c:spPr>
                <a:solidFill>
                  <a:srgbClr val="9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9-83C8-41BD-8277-39864550EC1C}"/>
              </c:ext>
            </c:extLst>
          </c:dPt>
          <c:dPt>
            <c:idx val="394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A-83C8-41BD-8277-39864550EC1C}"/>
              </c:ext>
            </c:extLst>
          </c:dPt>
          <c:dPt>
            <c:idx val="395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B-83C8-41BD-8277-39864550EC1C}"/>
              </c:ext>
            </c:extLst>
          </c:dPt>
          <c:dPt>
            <c:idx val="396"/>
            <c:marker>
              <c:spPr>
                <a:solidFill>
                  <a:srgbClr val="9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C-83C8-41BD-8277-39864550EC1C}"/>
              </c:ext>
            </c:extLst>
          </c:dPt>
          <c:dPt>
            <c:idx val="397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D-83C8-41BD-8277-39864550EC1C}"/>
              </c:ext>
            </c:extLst>
          </c:dPt>
          <c:dPt>
            <c:idx val="398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E-83C8-41BD-8277-39864550EC1C}"/>
              </c:ext>
            </c:extLst>
          </c:dPt>
          <c:dPt>
            <c:idx val="399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8F-83C8-41BD-8277-39864550EC1C}"/>
              </c:ext>
            </c:extLst>
          </c:dPt>
          <c:dPt>
            <c:idx val="400"/>
            <c:marker>
              <c:spPr>
                <a:solidFill>
                  <a:srgbClr val="9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0-83C8-41BD-8277-39864550EC1C}"/>
              </c:ext>
            </c:extLst>
          </c:dPt>
          <c:dPt>
            <c:idx val="401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1-83C8-41BD-8277-39864550EC1C}"/>
              </c:ext>
            </c:extLst>
          </c:dPt>
          <c:dPt>
            <c:idx val="402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2-83C8-41BD-8277-39864550EC1C}"/>
              </c:ext>
            </c:extLst>
          </c:dPt>
          <c:dPt>
            <c:idx val="403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3-83C8-41BD-8277-39864550EC1C}"/>
              </c:ext>
            </c:extLst>
          </c:dPt>
          <c:dPt>
            <c:idx val="404"/>
            <c:marker>
              <c:spPr>
                <a:solidFill>
                  <a:srgbClr val="9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4-83C8-41BD-8277-39864550EC1C}"/>
              </c:ext>
            </c:extLst>
          </c:dPt>
          <c:dPt>
            <c:idx val="405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5-83C8-41BD-8277-39864550EC1C}"/>
              </c:ext>
            </c:extLst>
          </c:dPt>
          <c:dPt>
            <c:idx val="406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6-83C8-41BD-8277-39864550EC1C}"/>
              </c:ext>
            </c:extLst>
          </c:dPt>
          <c:dPt>
            <c:idx val="407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7-83C8-41BD-8277-39864550EC1C}"/>
              </c:ext>
            </c:extLst>
          </c:dPt>
          <c:dPt>
            <c:idx val="408"/>
            <c:marker>
              <c:spPr>
                <a:solidFill>
                  <a:srgbClr val="9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8-83C8-41BD-8277-39864550EC1C}"/>
              </c:ext>
            </c:extLst>
          </c:dPt>
          <c:dPt>
            <c:idx val="409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9-83C8-41BD-8277-39864550EC1C}"/>
              </c:ext>
            </c:extLst>
          </c:dPt>
          <c:dPt>
            <c:idx val="410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A-83C8-41BD-8277-39864550EC1C}"/>
              </c:ext>
            </c:extLst>
          </c:dPt>
          <c:dPt>
            <c:idx val="411"/>
            <c:marker>
              <c:spPr>
                <a:solidFill>
                  <a:srgbClr val="9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B-83C8-41BD-8277-39864550EC1C}"/>
              </c:ext>
            </c:extLst>
          </c:dPt>
          <c:dPt>
            <c:idx val="412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C-83C8-41BD-8277-39864550EC1C}"/>
              </c:ext>
            </c:extLst>
          </c:dPt>
          <c:dPt>
            <c:idx val="413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D-83C8-41BD-8277-39864550EC1C}"/>
              </c:ext>
            </c:extLst>
          </c:dPt>
          <c:dPt>
            <c:idx val="414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E-83C8-41BD-8277-39864550EC1C}"/>
              </c:ext>
            </c:extLst>
          </c:dPt>
          <c:dPt>
            <c:idx val="415"/>
            <c:marker>
              <c:spPr>
                <a:solidFill>
                  <a:srgbClr val="9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9F-83C8-41BD-8277-39864550EC1C}"/>
              </c:ext>
            </c:extLst>
          </c:dPt>
          <c:dPt>
            <c:idx val="416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0-83C8-41BD-8277-39864550EC1C}"/>
              </c:ext>
            </c:extLst>
          </c:dPt>
          <c:dPt>
            <c:idx val="417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1-83C8-41BD-8277-39864550EC1C}"/>
              </c:ext>
            </c:extLst>
          </c:dPt>
          <c:dPt>
            <c:idx val="418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2-83C8-41BD-8277-39864550EC1C}"/>
              </c:ext>
            </c:extLst>
          </c:dPt>
          <c:dPt>
            <c:idx val="419"/>
            <c:marker>
              <c:spPr>
                <a:solidFill>
                  <a:srgbClr val="8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3-83C8-41BD-8277-39864550EC1C}"/>
              </c:ext>
            </c:extLst>
          </c:dPt>
          <c:dPt>
            <c:idx val="420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4-83C8-41BD-8277-39864550EC1C}"/>
              </c:ext>
            </c:extLst>
          </c:dPt>
          <c:dPt>
            <c:idx val="421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5-83C8-41BD-8277-39864550EC1C}"/>
              </c:ext>
            </c:extLst>
          </c:dPt>
          <c:dPt>
            <c:idx val="422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6-83C8-41BD-8277-39864550EC1C}"/>
              </c:ext>
            </c:extLst>
          </c:dPt>
          <c:dPt>
            <c:idx val="423"/>
            <c:marker>
              <c:spPr>
                <a:solidFill>
                  <a:srgbClr val="8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7-83C8-41BD-8277-39864550EC1C}"/>
              </c:ext>
            </c:extLst>
          </c:dPt>
          <c:dPt>
            <c:idx val="424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8-83C8-41BD-8277-39864550EC1C}"/>
              </c:ext>
            </c:extLst>
          </c:dPt>
          <c:dPt>
            <c:idx val="425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9-83C8-41BD-8277-39864550EC1C}"/>
              </c:ext>
            </c:extLst>
          </c:dPt>
          <c:dPt>
            <c:idx val="426"/>
            <c:marker>
              <c:spPr>
                <a:solidFill>
                  <a:srgbClr val="8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A-83C8-41BD-8277-39864550EC1C}"/>
              </c:ext>
            </c:extLst>
          </c:dPt>
          <c:dPt>
            <c:idx val="427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B-83C8-41BD-8277-39864550EC1C}"/>
              </c:ext>
            </c:extLst>
          </c:dPt>
          <c:dPt>
            <c:idx val="428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C-83C8-41BD-8277-39864550EC1C}"/>
              </c:ext>
            </c:extLst>
          </c:dPt>
          <c:dPt>
            <c:idx val="429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D-83C8-41BD-8277-39864550EC1C}"/>
              </c:ext>
            </c:extLst>
          </c:dPt>
          <c:dPt>
            <c:idx val="430"/>
            <c:marker>
              <c:spPr>
                <a:solidFill>
                  <a:srgbClr val="8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E-83C8-41BD-8277-39864550EC1C}"/>
              </c:ext>
            </c:extLst>
          </c:dPt>
          <c:dPt>
            <c:idx val="431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AF-83C8-41BD-8277-39864550EC1C}"/>
              </c:ext>
            </c:extLst>
          </c:dPt>
          <c:dPt>
            <c:idx val="432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0-83C8-41BD-8277-39864550EC1C}"/>
              </c:ext>
            </c:extLst>
          </c:dPt>
          <c:dPt>
            <c:idx val="433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1-83C8-41BD-8277-39864550EC1C}"/>
              </c:ext>
            </c:extLst>
          </c:dPt>
          <c:dPt>
            <c:idx val="434"/>
            <c:marker>
              <c:spPr>
                <a:solidFill>
                  <a:srgbClr val="8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2-83C8-41BD-8277-39864550EC1C}"/>
              </c:ext>
            </c:extLst>
          </c:dPt>
          <c:dPt>
            <c:idx val="435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3-83C8-41BD-8277-39864550EC1C}"/>
              </c:ext>
            </c:extLst>
          </c:dPt>
          <c:dPt>
            <c:idx val="436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4-83C8-41BD-8277-39864550EC1C}"/>
              </c:ext>
            </c:extLst>
          </c:dPt>
          <c:dPt>
            <c:idx val="437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5-83C8-41BD-8277-39864550EC1C}"/>
              </c:ext>
            </c:extLst>
          </c:dPt>
          <c:dPt>
            <c:idx val="438"/>
            <c:marker>
              <c:spPr>
                <a:solidFill>
                  <a:srgbClr val="8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6-83C8-41BD-8277-39864550EC1C}"/>
              </c:ext>
            </c:extLst>
          </c:dPt>
          <c:dPt>
            <c:idx val="439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7-83C8-41BD-8277-39864550EC1C}"/>
              </c:ext>
            </c:extLst>
          </c:dPt>
          <c:dPt>
            <c:idx val="440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8-83C8-41BD-8277-39864550EC1C}"/>
              </c:ext>
            </c:extLst>
          </c:dPt>
          <c:dPt>
            <c:idx val="441"/>
            <c:marker>
              <c:spPr>
                <a:solidFill>
                  <a:srgbClr val="8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9-83C8-41BD-8277-39864550EC1C}"/>
              </c:ext>
            </c:extLst>
          </c:dPt>
          <c:dPt>
            <c:idx val="442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A-83C8-41BD-8277-39864550EC1C}"/>
              </c:ext>
            </c:extLst>
          </c:dPt>
          <c:dPt>
            <c:idx val="443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B-83C8-41BD-8277-39864550EC1C}"/>
              </c:ext>
            </c:extLst>
          </c:dPt>
          <c:dPt>
            <c:idx val="444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C-83C8-41BD-8277-39864550EC1C}"/>
              </c:ext>
            </c:extLst>
          </c:dPt>
          <c:dPt>
            <c:idx val="445"/>
            <c:marker>
              <c:spPr>
                <a:solidFill>
                  <a:srgbClr val="8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D-83C8-41BD-8277-39864550EC1C}"/>
              </c:ext>
            </c:extLst>
          </c:dPt>
          <c:dPt>
            <c:idx val="446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E-83C8-41BD-8277-39864550EC1C}"/>
              </c:ext>
            </c:extLst>
          </c:dPt>
          <c:dPt>
            <c:idx val="447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BF-83C8-41BD-8277-39864550EC1C}"/>
              </c:ext>
            </c:extLst>
          </c:dPt>
          <c:dPt>
            <c:idx val="448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0-83C8-41BD-8277-39864550EC1C}"/>
              </c:ext>
            </c:extLst>
          </c:dPt>
          <c:dPt>
            <c:idx val="449"/>
            <c:marker>
              <c:spPr>
                <a:solidFill>
                  <a:srgbClr val="8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1-83C8-41BD-8277-39864550EC1C}"/>
              </c:ext>
            </c:extLst>
          </c:dPt>
          <c:dPt>
            <c:idx val="450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2-83C8-41BD-8277-39864550EC1C}"/>
              </c:ext>
            </c:extLst>
          </c:dPt>
          <c:dPt>
            <c:idx val="451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3-83C8-41BD-8277-39864550EC1C}"/>
              </c:ext>
            </c:extLst>
          </c:dPt>
          <c:dPt>
            <c:idx val="452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4-83C8-41BD-8277-39864550EC1C}"/>
              </c:ext>
            </c:extLst>
          </c:dPt>
          <c:dPt>
            <c:idx val="453"/>
            <c:marker>
              <c:spPr>
                <a:solidFill>
                  <a:srgbClr val="8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5-83C8-41BD-8277-39864550EC1C}"/>
              </c:ext>
            </c:extLst>
          </c:dPt>
          <c:dPt>
            <c:idx val="454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6-83C8-41BD-8277-39864550EC1C}"/>
              </c:ext>
            </c:extLst>
          </c:dPt>
          <c:dPt>
            <c:idx val="455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7-83C8-41BD-8277-39864550EC1C}"/>
              </c:ext>
            </c:extLst>
          </c:dPt>
          <c:dPt>
            <c:idx val="456"/>
            <c:marker>
              <c:spPr>
                <a:solidFill>
                  <a:srgbClr val="8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8-83C8-41BD-8277-39864550EC1C}"/>
              </c:ext>
            </c:extLst>
          </c:dPt>
          <c:dPt>
            <c:idx val="457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9-83C8-41BD-8277-39864550EC1C}"/>
              </c:ext>
            </c:extLst>
          </c:dPt>
          <c:dPt>
            <c:idx val="458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A-83C8-41BD-8277-39864550EC1C}"/>
              </c:ext>
            </c:extLst>
          </c:dPt>
          <c:dPt>
            <c:idx val="459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B-83C8-41BD-8277-39864550EC1C}"/>
              </c:ext>
            </c:extLst>
          </c:dPt>
          <c:dPt>
            <c:idx val="460"/>
            <c:marker>
              <c:spPr>
                <a:solidFill>
                  <a:srgbClr val="8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C-83C8-41BD-8277-39864550EC1C}"/>
              </c:ext>
            </c:extLst>
          </c:dPt>
          <c:dPt>
            <c:idx val="461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D-83C8-41BD-8277-39864550EC1C}"/>
              </c:ext>
            </c:extLst>
          </c:dPt>
          <c:dPt>
            <c:idx val="462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E-83C8-41BD-8277-39864550EC1C}"/>
              </c:ext>
            </c:extLst>
          </c:dPt>
          <c:dPt>
            <c:idx val="463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CF-83C8-41BD-8277-39864550EC1C}"/>
              </c:ext>
            </c:extLst>
          </c:dPt>
          <c:dPt>
            <c:idx val="464"/>
            <c:marker>
              <c:spPr>
                <a:solidFill>
                  <a:srgbClr val="8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0-83C8-41BD-8277-39864550EC1C}"/>
              </c:ext>
            </c:extLst>
          </c:dPt>
          <c:dPt>
            <c:idx val="465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1-83C8-41BD-8277-39864550EC1C}"/>
              </c:ext>
            </c:extLst>
          </c:dPt>
          <c:dPt>
            <c:idx val="466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2-83C8-41BD-8277-39864550EC1C}"/>
              </c:ext>
            </c:extLst>
          </c:dPt>
          <c:dPt>
            <c:idx val="467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3-83C8-41BD-8277-39864550EC1C}"/>
              </c:ext>
            </c:extLst>
          </c:dPt>
          <c:dPt>
            <c:idx val="468"/>
            <c:marker>
              <c:spPr>
                <a:solidFill>
                  <a:srgbClr val="8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4-83C8-41BD-8277-39864550EC1C}"/>
              </c:ext>
            </c:extLst>
          </c:dPt>
          <c:dPt>
            <c:idx val="469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5-83C8-41BD-8277-39864550EC1C}"/>
              </c:ext>
            </c:extLst>
          </c:dPt>
          <c:dPt>
            <c:idx val="470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6-83C8-41BD-8277-39864550EC1C}"/>
              </c:ext>
            </c:extLst>
          </c:dPt>
          <c:dPt>
            <c:idx val="471"/>
            <c:marker>
              <c:spPr>
                <a:solidFill>
                  <a:srgbClr val="8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7-83C8-41BD-8277-39864550EC1C}"/>
              </c:ext>
            </c:extLst>
          </c:dPt>
          <c:dPt>
            <c:idx val="472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8-83C8-41BD-8277-39864550EC1C}"/>
              </c:ext>
            </c:extLst>
          </c:dPt>
          <c:dPt>
            <c:idx val="473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9-83C8-41BD-8277-39864550EC1C}"/>
              </c:ext>
            </c:extLst>
          </c:dPt>
          <c:dPt>
            <c:idx val="474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A-83C8-41BD-8277-39864550EC1C}"/>
              </c:ext>
            </c:extLst>
          </c:dPt>
          <c:dPt>
            <c:idx val="475"/>
            <c:marker>
              <c:spPr>
                <a:solidFill>
                  <a:srgbClr val="8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B-83C8-41BD-8277-39864550EC1C}"/>
              </c:ext>
            </c:extLst>
          </c:dPt>
          <c:dPt>
            <c:idx val="476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C-83C8-41BD-8277-39864550EC1C}"/>
              </c:ext>
            </c:extLst>
          </c:dPt>
          <c:dPt>
            <c:idx val="477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D-83C8-41BD-8277-39864550EC1C}"/>
              </c:ext>
            </c:extLst>
          </c:dPt>
          <c:dPt>
            <c:idx val="478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E-83C8-41BD-8277-39864550EC1C}"/>
              </c:ext>
            </c:extLst>
          </c:dPt>
          <c:dPt>
            <c:idx val="479"/>
            <c:marker>
              <c:spPr>
                <a:solidFill>
                  <a:srgbClr val="7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DF-83C8-41BD-8277-39864550EC1C}"/>
              </c:ext>
            </c:extLst>
          </c:dPt>
          <c:dPt>
            <c:idx val="480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0-83C8-41BD-8277-39864550EC1C}"/>
              </c:ext>
            </c:extLst>
          </c:dPt>
          <c:dPt>
            <c:idx val="481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1-83C8-41BD-8277-39864550EC1C}"/>
              </c:ext>
            </c:extLst>
          </c:dPt>
          <c:dPt>
            <c:idx val="482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2-83C8-41BD-8277-39864550EC1C}"/>
              </c:ext>
            </c:extLst>
          </c:dPt>
          <c:dPt>
            <c:idx val="483"/>
            <c:marker>
              <c:spPr>
                <a:solidFill>
                  <a:srgbClr val="7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3-83C8-41BD-8277-39864550EC1C}"/>
              </c:ext>
            </c:extLst>
          </c:dPt>
          <c:dPt>
            <c:idx val="484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4-83C8-41BD-8277-39864550EC1C}"/>
              </c:ext>
            </c:extLst>
          </c:dPt>
          <c:dPt>
            <c:idx val="485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5-83C8-41BD-8277-39864550EC1C}"/>
              </c:ext>
            </c:extLst>
          </c:dPt>
          <c:dPt>
            <c:idx val="486"/>
            <c:marker>
              <c:spPr>
                <a:solidFill>
                  <a:srgbClr val="7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6-83C8-41BD-8277-39864550EC1C}"/>
              </c:ext>
            </c:extLst>
          </c:dPt>
          <c:dPt>
            <c:idx val="487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7-83C8-41BD-8277-39864550EC1C}"/>
              </c:ext>
            </c:extLst>
          </c:dPt>
          <c:dPt>
            <c:idx val="488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8-83C8-41BD-8277-39864550EC1C}"/>
              </c:ext>
            </c:extLst>
          </c:dPt>
          <c:dPt>
            <c:idx val="489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9-83C8-41BD-8277-39864550EC1C}"/>
              </c:ext>
            </c:extLst>
          </c:dPt>
          <c:dPt>
            <c:idx val="490"/>
            <c:marker>
              <c:spPr>
                <a:solidFill>
                  <a:srgbClr val="7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A-83C8-41BD-8277-39864550EC1C}"/>
              </c:ext>
            </c:extLst>
          </c:dPt>
          <c:dPt>
            <c:idx val="491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B-83C8-41BD-8277-39864550EC1C}"/>
              </c:ext>
            </c:extLst>
          </c:dPt>
          <c:dPt>
            <c:idx val="492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C-83C8-41BD-8277-39864550EC1C}"/>
              </c:ext>
            </c:extLst>
          </c:dPt>
          <c:dPt>
            <c:idx val="493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D-83C8-41BD-8277-39864550EC1C}"/>
              </c:ext>
            </c:extLst>
          </c:dPt>
          <c:dPt>
            <c:idx val="494"/>
            <c:marker>
              <c:spPr>
                <a:solidFill>
                  <a:srgbClr val="7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E-83C8-41BD-8277-39864550EC1C}"/>
              </c:ext>
            </c:extLst>
          </c:dPt>
          <c:dPt>
            <c:idx val="495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EF-83C8-41BD-8277-39864550EC1C}"/>
              </c:ext>
            </c:extLst>
          </c:dPt>
          <c:dPt>
            <c:idx val="496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0-83C8-41BD-8277-39864550EC1C}"/>
              </c:ext>
            </c:extLst>
          </c:dPt>
          <c:dPt>
            <c:idx val="497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1-83C8-41BD-8277-39864550EC1C}"/>
              </c:ext>
            </c:extLst>
          </c:dPt>
          <c:dPt>
            <c:idx val="498"/>
            <c:marker>
              <c:spPr>
                <a:solidFill>
                  <a:srgbClr val="7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2-83C8-41BD-8277-39864550EC1C}"/>
              </c:ext>
            </c:extLst>
          </c:dPt>
          <c:dPt>
            <c:idx val="499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3-83C8-41BD-8277-39864550EC1C}"/>
              </c:ext>
            </c:extLst>
          </c:dPt>
          <c:dPt>
            <c:idx val="500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4-83C8-41BD-8277-39864550EC1C}"/>
              </c:ext>
            </c:extLst>
          </c:dPt>
          <c:dPt>
            <c:idx val="501"/>
            <c:marker>
              <c:spPr>
                <a:solidFill>
                  <a:srgbClr val="7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5-83C8-41BD-8277-39864550EC1C}"/>
              </c:ext>
            </c:extLst>
          </c:dPt>
          <c:dPt>
            <c:idx val="502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6-83C8-41BD-8277-39864550EC1C}"/>
              </c:ext>
            </c:extLst>
          </c:dPt>
          <c:dPt>
            <c:idx val="503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7-83C8-41BD-8277-39864550EC1C}"/>
              </c:ext>
            </c:extLst>
          </c:dPt>
          <c:dPt>
            <c:idx val="504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8-83C8-41BD-8277-39864550EC1C}"/>
              </c:ext>
            </c:extLst>
          </c:dPt>
          <c:dPt>
            <c:idx val="505"/>
            <c:marker>
              <c:spPr>
                <a:solidFill>
                  <a:srgbClr val="7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9-83C8-41BD-8277-39864550EC1C}"/>
              </c:ext>
            </c:extLst>
          </c:dPt>
          <c:dPt>
            <c:idx val="506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A-83C8-41BD-8277-39864550EC1C}"/>
              </c:ext>
            </c:extLst>
          </c:dPt>
          <c:dPt>
            <c:idx val="507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B-83C8-41BD-8277-39864550EC1C}"/>
              </c:ext>
            </c:extLst>
          </c:dPt>
          <c:dPt>
            <c:idx val="508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C-83C8-41BD-8277-39864550EC1C}"/>
              </c:ext>
            </c:extLst>
          </c:dPt>
          <c:dPt>
            <c:idx val="509"/>
            <c:marker>
              <c:spPr>
                <a:solidFill>
                  <a:srgbClr val="7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D-83C8-41BD-8277-39864550EC1C}"/>
              </c:ext>
            </c:extLst>
          </c:dPt>
          <c:dPt>
            <c:idx val="510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E-83C8-41BD-8277-39864550EC1C}"/>
              </c:ext>
            </c:extLst>
          </c:dPt>
          <c:dPt>
            <c:idx val="511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1FF-83C8-41BD-8277-39864550EC1C}"/>
              </c:ext>
            </c:extLst>
          </c:dPt>
          <c:dPt>
            <c:idx val="512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0-83C8-41BD-8277-39864550EC1C}"/>
              </c:ext>
            </c:extLst>
          </c:dPt>
          <c:dPt>
            <c:idx val="513"/>
            <c:marker>
              <c:spPr>
                <a:solidFill>
                  <a:srgbClr val="7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1-83C8-41BD-8277-39864550EC1C}"/>
              </c:ext>
            </c:extLst>
          </c:dPt>
          <c:dPt>
            <c:idx val="514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2-83C8-41BD-8277-39864550EC1C}"/>
              </c:ext>
            </c:extLst>
          </c:dPt>
          <c:dPt>
            <c:idx val="515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3-83C8-41BD-8277-39864550EC1C}"/>
              </c:ext>
            </c:extLst>
          </c:dPt>
          <c:dPt>
            <c:idx val="516"/>
            <c:marker>
              <c:spPr>
                <a:solidFill>
                  <a:srgbClr val="7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4-83C8-41BD-8277-39864550EC1C}"/>
              </c:ext>
            </c:extLst>
          </c:dPt>
          <c:dPt>
            <c:idx val="517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5-83C8-41BD-8277-39864550EC1C}"/>
              </c:ext>
            </c:extLst>
          </c:dPt>
          <c:dPt>
            <c:idx val="518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6-83C8-41BD-8277-39864550EC1C}"/>
              </c:ext>
            </c:extLst>
          </c:dPt>
          <c:dPt>
            <c:idx val="519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7-83C8-41BD-8277-39864550EC1C}"/>
              </c:ext>
            </c:extLst>
          </c:dPt>
          <c:dPt>
            <c:idx val="520"/>
            <c:marker>
              <c:spPr>
                <a:solidFill>
                  <a:srgbClr val="7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8-83C8-41BD-8277-39864550EC1C}"/>
              </c:ext>
            </c:extLst>
          </c:dPt>
          <c:dPt>
            <c:idx val="521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9-83C8-41BD-8277-39864550EC1C}"/>
              </c:ext>
            </c:extLst>
          </c:dPt>
          <c:dPt>
            <c:idx val="522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A-83C8-41BD-8277-39864550EC1C}"/>
              </c:ext>
            </c:extLst>
          </c:dPt>
          <c:dPt>
            <c:idx val="523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B-83C8-41BD-8277-39864550EC1C}"/>
              </c:ext>
            </c:extLst>
          </c:dPt>
          <c:dPt>
            <c:idx val="524"/>
            <c:marker>
              <c:spPr>
                <a:solidFill>
                  <a:srgbClr val="7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C-83C8-41BD-8277-39864550EC1C}"/>
              </c:ext>
            </c:extLst>
          </c:dPt>
          <c:dPt>
            <c:idx val="525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D-83C8-41BD-8277-39864550EC1C}"/>
              </c:ext>
            </c:extLst>
          </c:dPt>
          <c:dPt>
            <c:idx val="526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E-83C8-41BD-8277-39864550EC1C}"/>
              </c:ext>
            </c:extLst>
          </c:dPt>
          <c:dPt>
            <c:idx val="527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0F-83C8-41BD-8277-39864550EC1C}"/>
              </c:ext>
            </c:extLst>
          </c:dPt>
          <c:dPt>
            <c:idx val="528"/>
            <c:marker>
              <c:spPr>
                <a:solidFill>
                  <a:srgbClr val="7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0-83C8-41BD-8277-39864550EC1C}"/>
              </c:ext>
            </c:extLst>
          </c:dPt>
          <c:dPt>
            <c:idx val="529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1-83C8-41BD-8277-39864550EC1C}"/>
              </c:ext>
            </c:extLst>
          </c:dPt>
          <c:dPt>
            <c:idx val="530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2-83C8-41BD-8277-39864550EC1C}"/>
              </c:ext>
            </c:extLst>
          </c:dPt>
          <c:dPt>
            <c:idx val="531"/>
            <c:marker>
              <c:spPr>
                <a:solidFill>
                  <a:srgbClr val="7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3-83C8-41BD-8277-39864550EC1C}"/>
              </c:ext>
            </c:extLst>
          </c:dPt>
          <c:dPt>
            <c:idx val="532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4-83C8-41BD-8277-39864550EC1C}"/>
              </c:ext>
            </c:extLst>
          </c:dPt>
          <c:dPt>
            <c:idx val="533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5-83C8-41BD-8277-39864550EC1C}"/>
              </c:ext>
            </c:extLst>
          </c:dPt>
          <c:dPt>
            <c:idx val="534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6-83C8-41BD-8277-39864550EC1C}"/>
              </c:ext>
            </c:extLst>
          </c:dPt>
          <c:dPt>
            <c:idx val="535"/>
            <c:marker>
              <c:spPr>
                <a:solidFill>
                  <a:srgbClr val="7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7-83C8-41BD-8277-39864550EC1C}"/>
              </c:ext>
            </c:extLst>
          </c:dPt>
          <c:dPt>
            <c:idx val="536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8-83C8-41BD-8277-39864550EC1C}"/>
              </c:ext>
            </c:extLst>
          </c:dPt>
          <c:dPt>
            <c:idx val="537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9-83C8-41BD-8277-39864550EC1C}"/>
              </c:ext>
            </c:extLst>
          </c:dPt>
          <c:dPt>
            <c:idx val="538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A-83C8-41BD-8277-39864550EC1C}"/>
              </c:ext>
            </c:extLst>
          </c:dPt>
          <c:dPt>
            <c:idx val="539"/>
            <c:marker>
              <c:spPr>
                <a:solidFill>
                  <a:srgbClr val="6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B-83C8-41BD-8277-39864550EC1C}"/>
              </c:ext>
            </c:extLst>
          </c:dPt>
          <c:dPt>
            <c:idx val="540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C-83C8-41BD-8277-39864550EC1C}"/>
              </c:ext>
            </c:extLst>
          </c:dPt>
          <c:dPt>
            <c:idx val="541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D-83C8-41BD-8277-39864550EC1C}"/>
              </c:ext>
            </c:extLst>
          </c:dPt>
          <c:dPt>
            <c:idx val="542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E-83C8-41BD-8277-39864550EC1C}"/>
              </c:ext>
            </c:extLst>
          </c:dPt>
          <c:dPt>
            <c:idx val="543"/>
            <c:marker>
              <c:spPr>
                <a:solidFill>
                  <a:srgbClr val="6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1F-83C8-41BD-8277-39864550EC1C}"/>
              </c:ext>
            </c:extLst>
          </c:dPt>
          <c:dPt>
            <c:idx val="544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0-83C8-41BD-8277-39864550EC1C}"/>
              </c:ext>
            </c:extLst>
          </c:dPt>
          <c:dPt>
            <c:idx val="545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1-83C8-41BD-8277-39864550EC1C}"/>
              </c:ext>
            </c:extLst>
          </c:dPt>
          <c:dPt>
            <c:idx val="546"/>
            <c:marker>
              <c:spPr>
                <a:solidFill>
                  <a:srgbClr val="6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2-83C8-41BD-8277-39864550EC1C}"/>
              </c:ext>
            </c:extLst>
          </c:dPt>
          <c:dPt>
            <c:idx val="547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3-83C8-41BD-8277-39864550EC1C}"/>
              </c:ext>
            </c:extLst>
          </c:dPt>
          <c:dPt>
            <c:idx val="548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4-83C8-41BD-8277-39864550EC1C}"/>
              </c:ext>
            </c:extLst>
          </c:dPt>
          <c:dPt>
            <c:idx val="549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5-83C8-41BD-8277-39864550EC1C}"/>
              </c:ext>
            </c:extLst>
          </c:dPt>
          <c:dPt>
            <c:idx val="550"/>
            <c:marker>
              <c:spPr>
                <a:solidFill>
                  <a:srgbClr val="6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6-83C8-41BD-8277-39864550EC1C}"/>
              </c:ext>
            </c:extLst>
          </c:dPt>
          <c:dPt>
            <c:idx val="551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7-83C8-41BD-8277-39864550EC1C}"/>
              </c:ext>
            </c:extLst>
          </c:dPt>
          <c:dPt>
            <c:idx val="552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8-83C8-41BD-8277-39864550EC1C}"/>
              </c:ext>
            </c:extLst>
          </c:dPt>
          <c:dPt>
            <c:idx val="553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9-83C8-41BD-8277-39864550EC1C}"/>
              </c:ext>
            </c:extLst>
          </c:dPt>
          <c:dPt>
            <c:idx val="554"/>
            <c:marker>
              <c:spPr>
                <a:solidFill>
                  <a:srgbClr val="6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A-83C8-41BD-8277-39864550EC1C}"/>
              </c:ext>
            </c:extLst>
          </c:dPt>
          <c:dPt>
            <c:idx val="555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B-83C8-41BD-8277-39864550EC1C}"/>
              </c:ext>
            </c:extLst>
          </c:dPt>
          <c:dPt>
            <c:idx val="556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C-83C8-41BD-8277-39864550EC1C}"/>
              </c:ext>
            </c:extLst>
          </c:dPt>
          <c:dPt>
            <c:idx val="557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D-83C8-41BD-8277-39864550EC1C}"/>
              </c:ext>
            </c:extLst>
          </c:dPt>
          <c:dPt>
            <c:idx val="558"/>
            <c:marker>
              <c:spPr>
                <a:solidFill>
                  <a:srgbClr val="6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E-83C8-41BD-8277-39864550EC1C}"/>
              </c:ext>
            </c:extLst>
          </c:dPt>
          <c:dPt>
            <c:idx val="559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2F-83C8-41BD-8277-39864550EC1C}"/>
              </c:ext>
            </c:extLst>
          </c:dPt>
          <c:dPt>
            <c:idx val="560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0-83C8-41BD-8277-39864550EC1C}"/>
              </c:ext>
            </c:extLst>
          </c:dPt>
          <c:dPt>
            <c:idx val="561"/>
            <c:marker>
              <c:spPr>
                <a:solidFill>
                  <a:srgbClr val="6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1-83C8-41BD-8277-39864550EC1C}"/>
              </c:ext>
            </c:extLst>
          </c:dPt>
          <c:dPt>
            <c:idx val="562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2-83C8-41BD-8277-39864550EC1C}"/>
              </c:ext>
            </c:extLst>
          </c:dPt>
          <c:dPt>
            <c:idx val="563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3-83C8-41BD-8277-39864550EC1C}"/>
              </c:ext>
            </c:extLst>
          </c:dPt>
          <c:dPt>
            <c:idx val="564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4-83C8-41BD-8277-39864550EC1C}"/>
              </c:ext>
            </c:extLst>
          </c:dPt>
          <c:dPt>
            <c:idx val="565"/>
            <c:marker>
              <c:spPr>
                <a:solidFill>
                  <a:srgbClr val="6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5-83C8-41BD-8277-39864550EC1C}"/>
              </c:ext>
            </c:extLst>
          </c:dPt>
          <c:dPt>
            <c:idx val="566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6-83C8-41BD-8277-39864550EC1C}"/>
              </c:ext>
            </c:extLst>
          </c:dPt>
          <c:dPt>
            <c:idx val="567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7-83C8-41BD-8277-39864550EC1C}"/>
              </c:ext>
            </c:extLst>
          </c:dPt>
          <c:dPt>
            <c:idx val="568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8-83C8-41BD-8277-39864550EC1C}"/>
              </c:ext>
            </c:extLst>
          </c:dPt>
          <c:dPt>
            <c:idx val="569"/>
            <c:marker>
              <c:spPr>
                <a:solidFill>
                  <a:srgbClr val="6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9-83C8-41BD-8277-39864550EC1C}"/>
              </c:ext>
            </c:extLst>
          </c:dPt>
          <c:dPt>
            <c:idx val="570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A-83C8-41BD-8277-39864550EC1C}"/>
              </c:ext>
            </c:extLst>
          </c:dPt>
          <c:dPt>
            <c:idx val="571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B-83C8-41BD-8277-39864550EC1C}"/>
              </c:ext>
            </c:extLst>
          </c:dPt>
          <c:dPt>
            <c:idx val="572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C-83C8-41BD-8277-39864550EC1C}"/>
              </c:ext>
            </c:extLst>
          </c:dPt>
          <c:dPt>
            <c:idx val="573"/>
            <c:marker>
              <c:spPr>
                <a:solidFill>
                  <a:srgbClr val="6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D-83C8-41BD-8277-39864550EC1C}"/>
              </c:ext>
            </c:extLst>
          </c:dPt>
          <c:dPt>
            <c:idx val="574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E-83C8-41BD-8277-39864550EC1C}"/>
              </c:ext>
            </c:extLst>
          </c:dPt>
          <c:dPt>
            <c:idx val="575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3F-83C8-41BD-8277-39864550EC1C}"/>
              </c:ext>
            </c:extLst>
          </c:dPt>
          <c:dPt>
            <c:idx val="576"/>
            <c:marker>
              <c:spPr>
                <a:solidFill>
                  <a:srgbClr val="6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0-83C8-41BD-8277-39864550EC1C}"/>
              </c:ext>
            </c:extLst>
          </c:dPt>
          <c:dPt>
            <c:idx val="577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1-83C8-41BD-8277-39864550EC1C}"/>
              </c:ext>
            </c:extLst>
          </c:dPt>
          <c:dPt>
            <c:idx val="578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2-83C8-41BD-8277-39864550EC1C}"/>
              </c:ext>
            </c:extLst>
          </c:dPt>
          <c:dPt>
            <c:idx val="579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3-83C8-41BD-8277-39864550EC1C}"/>
              </c:ext>
            </c:extLst>
          </c:dPt>
          <c:dPt>
            <c:idx val="580"/>
            <c:marker>
              <c:spPr>
                <a:solidFill>
                  <a:srgbClr val="6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4-83C8-41BD-8277-39864550EC1C}"/>
              </c:ext>
            </c:extLst>
          </c:dPt>
          <c:dPt>
            <c:idx val="581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5-83C8-41BD-8277-39864550EC1C}"/>
              </c:ext>
            </c:extLst>
          </c:dPt>
          <c:dPt>
            <c:idx val="582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6-83C8-41BD-8277-39864550EC1C}"/>
              </c:ext>
            </c:extLst>
          </c:dPt>
          <c:dPt>
            <c:idx val="583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7-83C8-41BD-8277-39864550EC1C}"/>
              </c:ext>
            </c:extLst>
          </c:dPt>
          <c:dPt>
            <c:idx val="584"/>
            <c:marker>
              <c:spPr>
                <a:solidFill>
                  <a:srgbClr val="6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8-83C8-41BD-8277-39864550EC1C}"/>
              </c:ext>
            </c:extLst>
          </c:dPt>
          <c:dPt>
            <c:idx val="585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9-83C8-41BD-8277-39864550EC1C}"/>
              </c:ext>
            </c:extLst>
          </c:dPt>
          <c:dPt>
            <c:idx val="586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A-83C8-41BD-8277-39864550EC1C}"/>
              </c:ext>
            </c:extLst>
          </c:dPt>
          <c:dPt>
            <c:idx val="587"/>
            <c:marker>
              <c:spPr>
                <a:solidFill>
                  <a:srgbClr val="6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B-83C8-41BD-8277-39864550EC1C}"/>
              </c:ext>
            </c:extLst>
          </c:dPt>
          <c:dPt>
            <c:idx val="588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C-83C8-41BD-8277-39864550EC1C}"/>
              </c:ext>
            </c:extLst>
          </c:dPt>
          <c:dPt>
            <c:idx val="589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D-83C8-41BD-8277-39864550EC1C}"/>
              </c:ext>
            </c:extLst>
          </c:dPt>
          <c:dPt>
            <c:idx val="590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E-83C8-41BD-8277-39864550EC1C}"/>
              </c:ext>
            </c:extLst>
          </c:dPt>
          <c:dPt>
            <c:idx val="591"/>
            <c:marker>
              <c:spPr>
                <a:solidFill>
                  <a:srgbClr val="6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4F-83C8-41BD-8277-39864550EC1C}"/>
              </c:ext>
            </c:extLst>
          </c:dPt>
          <c:dPt>
            <c:idx val="592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0-83C8-41BD-8277-39864550EC1C}"/>
              </c:ext>
            </c:extLst>
          </c:dPt>
          <c:dPt>
            <c:idx val="593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1-83C8-41BD-8277-39864550EC1C}"/>
              </c:ext>
            </c:extLst>
          </c:dPt>
          <c:dPt>
            <c:idx val="594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2-83C8-41BD-8277-39864550EC1C}"/>
              </c:ext>
            </c:extLst>
          </c:dPt>
          <c:dPt>
            <c:idx val="595"/>
            <c:marker>
              <c:spPr>
                <a:solidFill>
                  <a:srgbClr val="6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3-83C8-41BD-8277-39864550EC1C}"/>
              </c:ext>
            </c:extLst>
          </c:dPt>
          <c:dPt>
            <c:idx val="596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4-83C8-41BD-8277-39864550EC1C}"/>
              </c:ext>
            </c:extLst>
          </c:dPt>
          <c:dPt>
            <c:idx val="597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5-83C8-41BD-8277-39864550EC1C}"/>
              </c:ext>
            </c:extLst>
          </c:dPt>
          <c:dPt>
            <c:idx val="598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6-83C8-41BD-8277-39864550EC1C}"/>
              </c:ext>
            </c:extLst>
          </c:dPt>
          <c:dPt>
            <c:idx val="599"/>
            <c:marker>
              <c:spPr>
                <a:solidFill>
                  <a:srgbClr val="5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7-83C8-41BD-8277-39864550EC1C}"/>
              </c:ext>
            </c:extLst>
          </c:dPt>
          <c:dPt>
            <c:idx val="600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8-83C8-41BD-8277-39864550EC1C}"/>
              </c:ext>
            </c:extLst>
          </c:dPt>
          <c:dPt>
            <c:idx val="601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9-83C8-41BD-8277-39864550EC1C}"/>
              </c:ext>
            </c:extLst>
          </c:dPt>
          <c:dPt>
            <c:idx val="602"/>
            <c:marker>
              <c:spPr>
                <a:solidFill>
                  <a:srgbClr val="5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A-83C8-41BD-8277-39864550EC1C}"/>
              </c:ext>
            </c:extLst>
          </c:dPt>
          <c:dPt>
            <c:idx val="603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B-83C8-41BD-8277-39864550EC1C}"/>
              </c:ext>
            </c:extLst>
          </c:dPt>
          <c:dPt>
            <c:idx val="604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C-83C8-41BD-8277-39864550EC1C}"/>
              </c:ext>
            </c:extLst>
          </c:dPt>
          <c:dPt>
            <c:idx val="605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D-83C8-41BD-8277-39864550EC1C}"/>
              </c:ext>
            </c:extLst>
          </c:dPt>
          <c:dPt>
            <c:idx val="606"/>
            <c:marker>
              <c:spPr>
                <a:solidFill>
                  <a:srgbClr val="5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E-83C8-41BD-8277-39864550EC1C}"/>
              </c:ext>
            </c:extLst>
          </c:dPt>
          <c:dPt>
            <c:idx val="607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5F-83C8-41BD-8277-39864550EC1C}"/>
              </c:ext>
            </c:extLst>
          </c:dPt>
          <c:dPt>
            <c:idx val="608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0-83C8-41BD-8277-39864550EC1C}"/>
              </c:ext>
            </c:extLst>
          </c:dPt>
          <c:dPt>
            <c:idx val="609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1-83C8-41BD-8277-39864550EC1C}"/>
              </c:ext>
            </c:extLst>
          </c:dPt>
          <c:dPt>
            <c:idx val="610"/>
            <c:marker>
              <c:spPr>
                <a:solidFill>
                  <a:srgbClr val="5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2-83C8-41BD-8277-39864550EC1C}"/>
              </c:ext>
            </c:extLst>
          </c:dPt>
          <c:dPt>
            <c:idx val="611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3-83C8-41BD-8277-39864550EC1C}"/>
              </c:ext>
            </c:extLst>
          </c:dPt>
          <c:dPt>
            <c:idx val="612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4-83C8-41BD-8277-39864550EC1C}"/>
              </c:ext>
            </c:extLst>
          </c:dPt>
          <c:dPt>
            <c:idx val="613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5-83C8-41BD-8277-39864550EC1C}"/>
              </c:ext>
            </c:extLst>
          </c:dPt>
          <c:dPt>
            <c:idx val="614"/>
            <c:marker>
              <c:spPr>
                <a:solidFill>
                  <a:srgbClr val="5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6-83C8-41BD-8277-39864550EC1C}"/>
              </c:ext>
            </c:extLst>
          </c:dPt>
          <c:dPt>
            <c:idx val="615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7-83C8-41BD-8277-39864550EC1C}"/>
              </c:ext>
            </c:extLst>
          </c:dPt>
          <c:dPt>
            <c:idx val="616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8-83C8-41BD-8277-39864550EC1C}"/>
              </c:ext>
            </c:extLst>
          </c:dPt>
          <c:dPt>
            <c:idx val="617"/>
            <c:marker>
              <c:spPr>
                <a:solidFill>
                  <a:srgbClr val="5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9-83C8-41BD-8277-39864550EC1C}"/>
              </c:ext>
            </c:extLst>
          </c:dPt>
          <c:dPt>
            <c:idx val="618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A-83C8-41BD-8277-39864550EC1C}"/>
              </c:ext>
            </c:extLst>
          </c:dPt>
          <c:dPt>
            <c:idx val="619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B-83C8-41BD-8277-39864550EC1C}"/>
              </c:ext>
            </c:extLst>
          </c:dPt>
          <c:dPt>
            <c:idx val="620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C-83C8-41BD-8277-39864550EC1C}"/>
              </c:ext>
            </c:extLst>
          </c:dPt>
          <c:dPt>
            <c:idx val="621"/>
            <c:marker>
              <c:spPr>
                <a:solidFill>
                  <a:srgbClr val="5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D-83C8-41BD-8277-39864550EC1C}"/>
              </c:ext>
            </c:extLst>
          </c:dPt>
          <c:dPt>
            <c:idx val="622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E-83C8-41BD-8277-39864550EC1C}"/>
              </c:ext>
            </c:extLst>
          </c:dPt>
          <c:dPt>
            <c:idx val="623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6F-83C8-41BD-8277-39864550EC1C}"/>
              </c:ext>
            </c:extLst>
          </c:dPt>
          <c:dPt>
            <c:idx val="624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0-83C8-41BD-8277-39864550EC1C}"/>
              </c:ext>
            </c:extLst>
          </c:dPt>
          <c:dPt>
            <c:idx val="625"/>
            <c:marker>
              <c:spPr>
                <a:solidFill>
                  <a:srgbClr val="5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1-83C8-41BD-8277-39864550EC1C}"/>
              </c:ext>
            </c:extLst>
          </c:dPt>
          <c:dPt>
            <c:idx val="626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2-83C8-41BD-8277-39864550EC1C}"/>
              </c:ext>
            </c:extLst>
          </c:dPt>
          <c:dPt>
            <c:idx val="627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3-83C8-41BD-8277-39864550EC1C}"/>
              </c:ext>
            </c:extLst>
          </c:dPt>
          <c:dPt>
            <c:idx val="628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4-83C8-41BD-8277-39864550EC1C}"/>
              </c:ext>
            </c:extLst>
          </c:dPt>
          <c:dPt>
            <c:idx val="629"/>
            <c:marker>
              <c:spPr>
                <a:solidFill>
                  <a:srgbClr val="5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5-83C8-41BD-8277-39864550EC1C}"/>
              </c:ext>
            </c:extLst>
          </c:dPt>
          <c:dPt>
            <c:idx val="630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6-83C8-41BD-8277-39864550EC1C}"/>
              </c:ext>
            </c:extLst>
          </c:dPt>
          <c:dPt>
            <c:idx val="631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7-83C8-41BD-8277-39864550EC1C}"/>
              </c:ext>
            </c:extLst>
          </c:dPt>
          <c:dPt>
            <c:idx val="632"/>
            <c:marker>
              <c:spPr>
                <a:solidFill>
                  <a:srgbClr val="5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8-83C8-41BD-8277-39864550EC1C}"/>
              </c:ext>
            </c:extLst>
          </c:dPt>
          <c:dPt>
            <c:idx val="633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9-83C8-41BD-8277-39864550EC1C}"/>
              </c:ext>
            </c:extLst>
          </c:dPt>
          <c:dPt>
            <c:idx val="634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A-83C8-41BD-8277-39864550EC1C}"/>
              </c:ext>
            </c:extLst>
          </c:dPt>
          <c:dPt>
            <c:idx val="635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B-83C8-41BD-8277-39864550EC1C}"/>
              </c:ext>
            </c:extLst>
          </c:dPt>
          <c:dPt>
            <c:idx val="636"/>
            <c:marker>
              <c:spPr>
                <a:solidFill>
                  <a:srgbClr val="5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C-83C8-41BD-8277-39864550EC1C}"/>
              </c:ext>
            </c:extLst>
          </c:dPt>
          <c:dPt>
            <c:idx val="637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D-83C8-41BD-8277-39864550EC1C}"/>
              </c:ext>
            </c:extLst>
          </c:dPt>
          <c:dPt>
            <c:idx val="638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E-83C8-41BD-8277-39864550EC1C}"/>
              </c:ext>
            </c:extLst>
          </c:dPt>
          <c:dPt>
            <c:idx val="639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7F-83C8-41BD-8277-39864550EC1C}"/>
              </c:ext>
            </c:extLst>
          </c:dPt>
          <c:dPt>
            <c:idx val="640"/>
            <c:marker>
              <c:spPr>
                <a:solidFill>
                  <a:srgbClr val="5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0-83C8-41BD-8277-39864550EC1C}"/>
              </c:ext>
            </c:extLst>
          </c:dPt>
          <c:dPt>
            <c:idx val="641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1-83C8-41BD-8277-39864550EC1C}"/>
              </c:ext>
            </c:extLst>
          </c:dPt>
          <c:dPt>
            <c:idx val="642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2-83C8-41BD-8277-39864550EC1C}"/>
              </c:ext>
            </c:extLst>
          </c:dPt>
          <c:dPt>
            <c:idx val="643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3-83C8-41BD-8277-39864550EC1C}"/>
              </c:ext>
            </c:extLst>
          </c:dPt>
          <c:dPt>
            <c:idx val="644"/>
            <c:marker>
              <c:spPr>
                <a:solidFill>
                  <a:srgbClr val="5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4-83C8-41BD-8277-39864550EC1C}"/>
              </c:ext>
            </c:extLst>
          </c:dPt>
          <c:dPt>
            <c:idx val="645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5-83C8-41BD-8277-39864550EC1C}"/>
              </c:ext>
            </c:extLst>
          </c:dPt>
          <c:dPt>
            <c:idx val="646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6-83C8-41BD-8277-39864550EC1C}"/>
              </c:ext>
            </c:extLst>
          </c:dPt>
          <c:dPt>
            <c:idx val="647"/>
            <c:marker>
              <c:spPr>
                <a:solidFill>
                  <a:srgbClr val="5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7-83C8-41BD-8277-39864550EC1C}"/>
              </c:ext>
            </c:extLst>
          </c:dPt>
          <c:dPt>
            <c:idx val="648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8-83C8-41BD-8277-39864550EC1C}"/>
              </c:ext>
            </c:extLst>
          </c:dPt>
          <c:dPt>
            <c:idx val="649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9-83C8-41BD-8277-39864550EC1C}"/>
              </c:ext>
            </c:extLst>
          </c:dPt>
          <c:dPt>
            <c:idx val="650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A-83C8-41BD-8277-39864550EC1C}"/>
              </c:ext>
            </c:extLst>
          </c:dPt>
          <c:dPt>
            <c:idx val="651"/>
            <c:marker>
              <c:spPr>
                <a:solidFill>
                  <a:srgbClr val="5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B-83C8-41BD-8277-39864550EC1C}"/>
              </c:ext>
            </c:extLst>
          </c:dPt>
          <c:dPt>
            <c:idx val="652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C-83C8-41BD-8277-39864550EC1C}"/>
              </c:ext>
            </c:extLst>
          </c:dPt>
          <c:dPt>
            <c:idx val="653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D-83C8-41BD-8277-39864550EC1C}"/>
              </c:ext>
            </c:extLst>
          </c:dPt>
          <c:dPt>
            <c:idx val="654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E-83C8-41BD-8277-39864550EC1C}"/>
              </c:ext>
            </c:extLst>
          </c:dPt>
          <c:dPt>
            <c:idx val="655"/>
            <c:marker>
              <c:spPr>
                <a:solidFill>
                  <a:srgbClr val="5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8F-83C8-41BD-8277-39864550EC1C}"/>
              </c:ext>
            </c:extLst>
          </c:dPt>
          <c:dPt>
            <c:idx val="656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0-83C8-41BD-8277-39864550EC1C}"/>
              </c:ext>
            </c:extLst>
          </c:dPt>
          <c:dPt>
            <c:idx val="657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1-83C8-41BD-8277-39864550EC1C}"/>
              </c:ext>
            </c:extLst>
          </c:dPt>
          <c:dPt>
            <c:idx val="658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2-83C8-41BD-8277-39864550EC1C}"/>
              </c:ext>
            </c:extLst>
          </c:dPt>
          <c:dPt>
            <c:idx val="659"/>
            <c:marker>
              <c:spPr>
                <a:solidFill>
                  <a:srgbClr val="4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3-83C8-41BD-8277-39864550EC1C}"/>
              </c:ext>
            </c:extLst>
          </c:dPt>
          <c:dPt>
            <c:idx val="660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4-83C8-41BD-8277-39864550EC1C}"/>
              </c:ext>
            </c:extLst>
          </c:dPt>
          <c:dPt>
            <c:idx val="661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5-83C8-41BD-8277-39864550EC1C}"/>
              </c:ext>
            </c:extLst>
          </c:dPt>
          <c:dPt>
            <c:idx val="662"/>
            <c:marker>
              <c:spPr>
                <a:solidFill>
                  <a:srgbClr val="4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6-83C8-41BD-8277-39864550EC1C}"/>
              </c:ext>
            </c:extLst>
          </c:dPt>
          <c:dPt>
            <c:idx val="663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7-83C8-41BD-8277-39864550EC1C}"/>
              </c:ext>
            </c:extLst>
          </c:dPt>
          <c:dPt>
            <c:idx val="664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8-83C8-41BD-8277-39864550EC1C}"/>
              </c:ext>
            </c:extLst>
          </c:dPt>
          <c:dPt>
            <c:idx val="665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9-83C8-41BD-8277-39864550EC1C}"/>
              </c:ext>
            </c:extLst>
          </c:dPt>
          <c:dPt>
            <c:idx val="666"/>
            <c:marker>
              <c:spPr>
                <a:solidFill>
                  <a:srgbClr val="4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A-83C8-41BD-8277-39864550EC1C}"/>
              </c:ext>
            </c:extLst>
          </c:dPt>
          <c:dPt>
            <c:idx val="667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B-83C8-41BD-8277-39864550EC1C}"/>
              </c:ext>
            </c:extLst>
          </c:dPt>
          <c:dPt>
            <c:idx val="668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C-83C8-41BD-8277-39864550EC1C}"/>
              </c:ext>
            </c:extLst>
          </c:dPt>
          <c:dPt>
            <c:idx val="669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D-83C8-41BD-8277-39864550EC1C}"/>
              </c:ext>
            </c:extLst>
          </c:dPt>
          <c:dPt>
            <c:idx val="670"/>
            <c:marker>
              <c:spPr>
                <a:solidFill>
                  <a:srgbClr val="4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E-83C8-41BD-8277-39864550EC1C}"/>
              </c:ext>
            </c:extLst>
          </c:dPt>
          <c:dPt>
            <c:idx val="671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9F-83C8-41BD-8277-39864550EC1C}"/>
              </c:ext>
            </c:extLst>
          </c:dPt>
          <c:dPt>
            <c:idx val="672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0-83C8-41BD-8277-39864550EC1C}"/>
              </c:ext>
            </c:extLst>
          </c:dPt>
          <c:dPt>
            <c:idx val="673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1-83C8-41BD-8277-39864550EC1C}"/>
              </c:ext>
            </c:extLst>
          </c:dPt>
          <c:dPt>
            <c:idx val="674"/>
            <c:marker>
              <c:spPr>
                <a:solidFill>
                  <a:srgbClr val="4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2-83C8-41BD-8277-39864550EC1C}"/>
              </c:ext>
            </c:extLst>
          </c:dPt>
          <c:dPt>
            <c:idx val="675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3-83C8-41BD-8277-39864550EC1C}"/>
              </c:ext>
            </c:extLst>
          </c:dPt>
          <c:dPt>
            <c:idx val="676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4-83C8-41BD-8277-39864550EC1C}"/>
              </c:ext>
            </c:extLst>
          </c:dPt>
          <c:dPt>
            <c:idx val="677"/>
            <c:marker>
              <c:spPr>
                <a:solidFill>
                  <a:srgbClr val="4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5-83C8-41BD-8277-39864550EC1C}"/>
              </c:ext>
            </c:extLst>
          </c:dPt>
          <c:dPt>
            <c:idx val="678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6-83C8-41BD-8277-39864550EC1C}"/>
              </c:ext>
            </c:extLst>
          </c:dPt>
          <c:dPt>
            <c:idx val="679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7-83C8-41BD-8277-39864550EC1C}"/>
              </c:ext>
            </c:extLst>
          </c:dPt>
          <c:dPt>
            <c:idx val="680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8-83C8-41BD-8277-39864550EC1C}"/>
              </c:ext>
            </c:extLst>
          </c:dPt>
          <c:dPt>
            <c:idx val="681"/>
            <c:marker>
              <c:spPr>
                <a:solidFill>
                  <a:srgbClr val="4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9-83C8-41BD-8277-39864550EC1C}"/>
              </c:ext>
            </c:extLst>
          </c:dPt>
          <c:dPt>
            <c:idx val="682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A-83C8-41BD-8277-39864550EC1C}"/>
              </c:ext>
            </c:extLst>
          </c:dPt>
          <c:dPt>
            <c:idx val="683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B-83C8-41BD-8277-39864550EC1C}"/>
              </c:ext>
            </c:extLst>
          </c:dPt>
          <c:dPt>
            <c:idx val="684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C-83C8-41BD-8277-39864550EC1C}"/>
              </c:ext>
            </c:extLst>
          </c:dPt>
          <c:dPt>
            <c:idx val="685"/>
            <c:marker>
              <c:spPr>
                <a:solidFill>
                  <a:srgbClr val="4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D-83C8-41BD-8277-39864550EC1C}"/>
              </c:ext>
            </c:extLst>
          </c:dPt>
          <c:dPt>
            <c:idx val="686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E-83C8-41BD-8277-39864550EC1C}"/>
              </c:ext>
            </c:extLst>
          </c:dPt>
          <c:dPt>
            <c:idx val="687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AF-83C8-41BD-8277-39864550EC1C}"/>
              </c:ext>
            </c:extLst>
          </c:dPt>
          <c:dPt>
            <c:idx val="688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0-83C8-41BD-8277-39864550EC1C}"/>
              </c:ext>
            </c:extLst>
          </c:dPt>
          <c:dPt>
            <c:idx val="689"/>
            <c:marker>
              <c:spPr>
                <a:solidFill>
                  <a:srgbClr val="4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1-83C8-41BD-8277-39864550EC1C}"/>
              </c:ext>
            </c:extLst>
          </c:dPt>
          <c:dPt>
            <c:idx val="690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2-83C8-41BD-8277-39864550EC1C}"/>
              </c:ext>
            </c:extLst>
          </c:dPt>
          <c:dPt>
            <c:idx val="691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3-83C8-41BD-8277-39864550EC1C}"/>
              </c:ext>
            </c:extLst>
          </c:dPt>
          <c:dPt>
            <c:idx val="692"/>
            <c:marker>
              <c:spPr>
                <a:solidFill>
                  <a:srgbClr val="4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4-83C8-41BD-8277-39864550EC1C}"/>
              </c:ext>
            </c:extLst>
          </c:dPt>
          <c:dPt>
            <c:idx val="693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5-83C8-41BD-8277-39864550EC1C}"/>
              </c:ext>
            </c:extLst>
          </c:dPt>
          <c:dPt>
            <c:idx val="694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6-83C8-41BD-8277-39864550EC1C}"/>
              </c:ext>
            </c:extLst>
          </c:dPt>
          <c:dPt>
            <c:idx val="695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7-83C8-41BD-8277-39864550EC1C}"/>
              </c:ext>
            </c:extLst>
          </c:dPt>
          <c:dPt>
            <c:idx val="696"/>
            <c:marker>
              <c:spPr>
                <a:solidFill>
                  <a:srgbClr val="4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8-83C8-41BD-8277-39864550EC1C}"/>
              </c:ext>
            </c:extLst>
          </c:dPt>
          <c:dPt>
            <c:idx val="697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9-83C8-41BD-8277-39864550EC1C}"/>
              </c:ext>
            </c:extLst>
          </c:dPt>
          <c:dPt>
            <c:idx val="698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A-83C8-41BD-8277-39864550EC1C}"/>
              </c:ext>
            </c:extLst>
          </c:dPt>
          <c:dPt>
            <c:idx val="699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B-83C8-41BD-8277-39864550EC1C}"/>
              </c:ext>
            </c:extLst>
          </c:dPt>
          <c:dPt>
            <c:idx val="700"/>
            <c:marker>
              <c:spPr>
                <a:solidFill>
                  <a:srgbClr val="4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C-83C8-41BD-8277-39864550EC1C}"/>
              </c:ext>
            </c:extLst>
          </c:dPt>
          <c:dPt>
            <c:idx val="701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D-83C8-41BD-8277-39864550EC1C}"/>
              </c:ext>
            </c:extLst>
          </c:dPt>
          <c:dPt>
            <c:idx val="702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E-83C8-41BD-8277-39864550EC1C}"/>
              </c:ext>
            </c:extLst>
          </c:dPt>
          <c:dPt>
            <c:idx val="703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BF-83C8-41BD-8277-39864550EC1C}"/>
              </c:ext>
            </c:extLst>
          </c:dPt>
          <c:dPt>
            <c:idx val="704"/>
            <c:marker>
              <c:spPr>
                <a:solidFill>
                  <a:srgbClr val="4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0-83C8-41BD-8277-39864550EC1C}"/>
              </c:ext>
            </c:extLst>
          </c:dPt>
          <c:dPt>
            <c:idx val="705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1-83C8-41BD-8277-39864550EC1C}"/>
              </c:ext>
            </c:extLst>
          </c:dPt>
          <c:dPt>
            <c:idx val="706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2-83C8-41BD-8277-39864550EC1C}"/>
              </c:ext>
            </c:extLst>
          </c:dPt>
          <c:dPt>
            <c:idx val="707"/>
            <c:marker>
              <c:spPr>
                <a:solidFill>
                  <a:srgbClr val="4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3-83C8-41BD-8277-39864550EC1C}"/>
              </c:ext>
            </c:extLst>
          </c:dPt>
          <c:dPt>
            <c:idx val="708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4-83C8-41BD-8277-39864550EC1C}"/>
              </c:ext>
            </c:extLst>
          </c:dPt>
          <c:dPt>
            <c:idx val="709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5-83C8-41BD-8277-39864550EC1C}"/>
              </c:ext>
            </c:extLst>
          </c:dPt>
          <c:dPt>
            <c:idx val="710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6-83C8-41BD-8277-39864550EC1C}"/>
              </c:ext>
            </c:extLst>
          </c:dPt>
          <c:dPt>
            <c:idx val="711"/>
            <c:marker>
              <c:spPr>
                <a:solidFill>
                  <a:srgbClr val="4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7-83C8-41BD-8277-39864550EC1C}"/>
              </c:ext>
            </c:extLst>
          </c:dPt>
          <c:dPt>
            <c:idx val="712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8-83C8-41BD-8277-39864550EC1C}"/>
              </c:ext>
            </c:extLst>
          </c:dPt>
          <c:dPt>
            <c:idx val="713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9-83C8-41BD-8277-39864550EC1C}"/>
              </c:ext>
            </c:extLst>
          </c:dPt>
          <c:dPt>
            <c:idx val="714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A-83C8-41BD-8277-39864550EC1C}"/>
              </c:ext>
            </c:extLst>
          </c:dPt>
          <c:dPt>
            <c:idx val="715"/>
            <c:marker>
              <c:spPr>
                <a:solidFill>
                  <a:srgbClr val="4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B-83C8-41BD-8277-39864550EC1C}"/>
              </c:ext>
            </c:extLst>
          </c:dPt>
          <c:dPt>
            <c:idx val="716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C-83C8-41BD-8277-39864550EC1C}"/>
              </c:ext>
            </c:extLst>
          </c:dPt>
          <c:dPt>
            <c:idx val="717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D-83C8-41BD-8277-39864550EC1C}"/>
              </c:ext>
            </c:extLst>
          </c:dPt>
          <c:dPt>
            <c:idx val="718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E-83C8-41BD-8277-39864550EC1C}"/>
              </c:ext>
            </c:extLst>
          </c:dPt>
          <c:dPt>
            <c:idx val="719"/>
            <c:marker>
              <c:spPr>
                <a:solidFill>
                  <a:srgbClr val="3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CF-83C8-41BD-8277-39864550EC1C}"/>
              </c:ext>
            </c:extLst>
          </c:dPt>
          <c:dPt>
            <c:idx val="720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0-83C8-41BD-8277-39864550EC1C}"/>
              </c:ext>
            </c:extLst>
          </c:dPt>
          <c:dPt>
            <c:idx val="721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1-83C8-41BD-8277-39864550EC1C}"/>
              </c:ext>
            </c:extLst>
          </c:dPt>
          <c:dPt>
            <c:idx val="722"/>
            <c:marker>
              <c:spPr>
                <a:solidFill>
                  <a:srgbClr val="3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2-83C8-41BD-8277-39864550EC1C}"/>
              </c:ext>
            </c:extLst>
          </c:dPt>
          <c:dPt>
            <c:idx val="723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3-83C8-41BD-8277-39864550EC1C}"/>
              </c:ext>
            </c:extLst>
          </c:dPt>
          <c:dPt>
            <c:idx val="724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4-83C8-41BD-8277-39864550EC1C}"/>
              </c:ext>
            </c:extLst>
          </c:dPt>
          <c:dPt>
            <c:idx val="725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5-83C8-41BD-8277-39864550EC1C}"/>
              </c:ext>
            </c:extLst>
          </c:dPt>
          <c:dPt>
            <c:idx val="726"/>
            <c:marker>
              <c:spPr>
                <a:solidFill>
                  <a:srgbClr val="3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6-83C8-41BD-8277-39864550EC1C}"/>
              </c:ext>
            </c:extLst>
          </c:dPt>
          <c:dPt>
            <c:idx val="727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7-83C8-41BD-8277-39864550EC1C}"/>
              </c:ext>
            </c:extLst>
          </c:dPt>
          <c:dPt>
            <c:idx val="728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8-83C8-41BD-8277-39864550EC1C}"/>
              </c:ext>
            </c:extLst>
          </c:dPt>
          <c:dPt>
            <c:idx val="729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9-83C8-41BD-8277-39864550EC1C}"/>
              </c:ext>
            </c:extLst>
          </c:dPt>
          <c:dPt>
            <c:idx val="730"/>
            <c:marker>
              <c:spPr>
                <a:solidFill>
                  <a:srgbClr val="3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A-83C8-41BD-8277-39864550EC1C}"/>
              </c:ext>
            </c:extLst>
          </c:dPt>
          <c:dPt>
            <c:idx val="731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B-83C8-41BD-8277-39864550EC1C}"/>
              </c:ext>
            </c:extLst>
          </c:dPt>
          <c:dPt>
            <c:idx val="732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C-83C8-41BD-8277-39864550EC1C}"/>
              </c:ext>
            </c:extLst>
          </c:dPt>
          <c:dPt>
            <c:idx val="733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D-83C8-41BD-8277-39864550EC1C}"/>
              </c:ext>
            </c:extLst>
          </c:dPt>
          <c:dPt>
            <c:idx val="734"/>
            <c:marker>
              <c:spPr>
                <a:solidFill>
                  <a:srgbClr val="3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E-83C8-41BD-8277-39864550EC1C}"/>
              </c:ext>
            </c:extLst>
          </c:dPt>
          <c:dPt>
            <c:idx val="735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DF-83C8-41BD-8277-39864550EC1C}"/>
              </c:ext>
            </c:extLst>
          </c:dPt>
          <c:dPt>
            <c:idx val="736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0-83C8-41BD-8277-39864550EC1C}"/>
              </c:ext>
            </c:extLst>
          </c:dPt>
          <c:dPt>
            <c:idx val="737"/>
            <c:marker>
              <c:spPr>
                <a:solidFill>
                  <a:srgbClr val="3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1-83C8-41BD-8277-39864550EC1C}"/>
              </c:ext>
            </c:extLst>
          </c:dPt>
          <c:dPt>
            <c:idx val="738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2-83C8-41BD-8277-39864550EC1C}"/>
              </c:ext>
            </c:extLst>
          </c:dPt>
          <c:dPt>
            <c:idx val="739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3-83C8-41BD-8277-39864550EC1C}"/>
              </c:ext>
            </c:extLst>
          </c:dPt>
          <c:dPt>
            <c:idx val="740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4-83C8-41BD-8277-39864550EC1C}"/>
              </c:ext>
            </c:extLst>
          </c:dPt>
          <c:dPt>
            <c:idx val="741"/>
            <c:marker>
              <c:spPr>
                <a:solidFill>
                  <a:srgbClr val="3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5-83C8-41BD-8277-39864550EC1C}"/>
              </c:ext>
            </c:extLst>
          </c:dPt>
          <c:dPt>
            <c:idx val="742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6-83C8-41BD-8277-39864550EC1C}"/>
              </c:ext>
            </c:extLst>
          </c:dPt>
          <c:dPt>
            <c:idx val="743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7-83C8-41BD-8277-39864550EC1C}"/>
              </c:ext>
            </c:extLst>
          </c:dPt>
          <c:dPt>
            <c:idx val="744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8-83C8-41BD-8277-39864550EC1C}"/>
              </c:ext>
            </c:extLst>
          </c:dPt>
          <c:dPt>
            <c:idx val="745"/>
            <c:marker>
              <c:spPr>
                <a:solidFill>
                  <a:srgbClr val="3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9-83C8-41BD-8277-39864550EC1C}"/>
              </c:ext>
            </c:extLst>
          </c:dPt>
          <c:dPt>
            <c:idx val="746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A-83C8-41BD-8277-39864550EC1C}"/>
              </c:ext>
            </c:extLst>
          </c:dPt>
          <c:dPt>
            <c:idx val="747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B-83C8-41BD-8277-39864550EC1C}"/>
              </c:ext>
            </c:extLst>
          </c:dPt>
          <c:dPt>
            <c:idx val="748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C-83C8-41BD-8277-39864550EC1C}"/>
              </c:ext>
            </c:extLst>
          </c:dPt>
          <c:dPt>
            <c:idx val="749"/>
            <c:marker>
              <c:spPr>
                <a:solidFill>
                  <a:srgbClr val="3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D-83C8-41BD-8277-39864550EC1C}"/>
              </c:ext>
            </c:extLst>
          </c:dPt>
          <c:dPt>
            <c:idx val="750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E-83C8-41BD-8277-39864550EC1C}"/>
              </c:ext>
            </c:extLst>
          </c:dPt>
          <c:dPt>
            <c:idx val="751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EF-83C8-41BD-8277-39864550EC1C}"/>
              </c:ext>
            </c:extLst>
          </c:dPt>
          <c:dPt>
            <c:idx val="752"/>
            <c:marker>
              <c:spPr>
                <a:solidFill>
                  <a:srgbClr val="3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0-83C8-41BD-8277-39864550EC1C}"/>
              </c:ext>
            </c:extLst>
          </c:dPt>
          <c:dPt>
            <c:idx val="753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1-83C8-41BD-8277-39864550EC1C}"/>
              </c:ext>
            </c:extLst>
          </c:dPt>
          <c:dPt>
            <c:idx val="754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2-83C8-41BD-8277-39864550EC1C}"/>
              </c:ext>
            </c:extLst>
          </c:dPt>
          <c:dPt>
            <c:idx val="755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3-83C8-41BD-8277-39864550EC1C}"/>
              </c:ext>
            </c:extLst>
          </c:dPt>
          <c:dPt>
            <c:idx val="756"/>
            <c:marker>
              <c:spPr>
                <a:solidFill>
                  <a:srgbClr val="3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4-83C8-41BD-8277-39864550EC1C}"/>
              </c:ext>
            </c:extLst>
          </c:dPt>
          <c:dPt>
            <c:idx val="757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5-83C8-41BD-8277-39864550EC1C}"/>
              </c:ext>
            </c:extLst>
          </c:dPt>
          <c:dPt>
            <c:idx val="758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6-83C8-41BD-8277-39864550EC1C}"/>
              </c:ext>
            </c:extLst>
          </c:dPt>
          <c:dPt>
            <c:idx val="759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7-83C8-41BD-8277-39864550EC1C}"/>
              </c:ext>
            </c:extLst>
          </c:dPt>
          <c:dPt>
            <c:idx val="760"/>
            <c:marker>
              <c:spPr>
                <a:solidFill>
                  <a:srgbClr val="3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8-83C8-41BD-8277-39864550EC1C}"/>
              </c:ext>
            </c:extLst>
          </c:dPt>
          <c:dPt>
            <c:idx val="761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9-83C8-41BD-8277-39864550EC1C}"/>
              </c:ext>
            </c:extLst>
          </c:dPt>
          <c:dPt>
            <c:idx val="762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A-83C8-41BD-8277-39864550EC1C}"/>
              </c:ext>
            </c:extLst>
          </c:dPt>
          <c:dPt>
            <c:idx val="763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B-83C8-41BD-8277-39864550EC1C}"/>
              </c:ext>
            </c:extLst>
          </c:dPt>
          <c:dPt>
            <c:idx val="764"/>
            <c:marker>
              <c:spPr>
                <a:solidFill>
                  <a:srgbClr val="3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C-83C8-41BD-8277-39864550EC1C}"/>
              </c:ext>
            </c:extLst>
          </c:dPt>
          <c:dPt>
            <c:idx val="765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D-83C8-41BD-8277-39864550EC1C}"/>
              </c:ext>
            </c:extLst>
          </c:dPt>
          <c:dPt>
            <c:idx val="766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E-83C8-41BD-8277-39864550EC1C}"/>
              </c:ext>
            </c:extLst>
          </c:dPt>
          <c:dPt>
            <c:idx val="767"/>
            <c:marker>
              <c:spPr>
                <a:solidFill>
                  <a:srgbClr val="3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2FF-83C8-41BD-8277-39864550EC1C}"/>
              </c:ext>
            </c:extLst>
          </c:dPt>
          <c:dPt>
            <c:idx val="768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0-83C8-41BD-8277-39864550EC1C}"/>
              </c:ext>
            </c:extLst>
          </c:dPt>
          <c:dPt>
            <c:idx val="769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1-83C8-41BD-8277-39864550EC1C}"/>
              </c:ext>
            </c:extLst>
          </c:dPt>
          <c:dPt>
            <c:idx val="770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2-83C8-41BD-8277-39864550EC1C}"/>
              </c:ext>
            </c:extLst>
          </c:dPt>
          <c:dPt>
            <c:idx val="771"/>
            <c:marker>
              <c:spPr>
                <a:solidFill>
                  <a:srgbClr val="3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3-83C8-41BD-8277-39864550EC1C}"/>
              </c:ext>
            </c:extLst>
          </c:dPt>
          <c:dPt>
            <c:idx val="772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4-83C8-41BD-8277-39864550EC1C}"/>
              </c:ext>
            </c:extLst>
          </c:dPt>
          <c:dPt>
            <c:idx val="773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5-83C8-41BD-8277-39864550EC1C}"/>
              </c:ext>
            </c:extLst>
          </c:dPt>
          <c:dPt>
            <c:idx val="774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6-83C8-41BD-8277-39864550EC1C}"/>
              </c:ext>
            </c:extLst>
          </c:dPt>
          <c:dPt>
            <c:idx val="775"/>
            <c:marker>
              <c:spPr>
                <a:solidFill>
                  <a:srgbClr val="3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7-83C8-41BD-8277-39864550EC1C}"/>
              </c:ext>
            </c:extLst>
          </c:dPt>
          <c:dPt>
            <c:idx val="776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8-83C8-41BD-8277-39864550EC1C}"/>
              </c:ext>
            </c:extLst>
          </c:dPt>
          <c:dPt>
            <c:idx val="777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9-83C8-41BD-8277-39864550EC1C}"/>
              </c:ext>
            </c:extLst>
          </c:dPt>
          <c:dPt>
            <c:idx val="778"/>
            <c:marker>
              <c:spPr>
                <a:solidFill>
                  <a:srgbClr val="2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A-83C8-41BD-8277-39864550EC1C}"/>
              </c:ext>
            </c:extLst>
          </c:dPt>
          <c:dPt>
            <c:idx val="779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B-83C8-41BD-8277-39864550EC1C}"/>
              </c:ext>
            </c:extLst>
          </c:dPt>
          <c:dPt>
            <c:idx val="780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C-83C8-41BD-8277-39864550EC1C}"/>
              </c:ext>
            </c:extLst>
          </c:dPt>
          <c:dPt>
            <c:idx val="781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D-83C8-41BD-8277-39864550EC1C}"/>
              </c:ext>
            </c:extLst>
          </c:dPt>
          <c:dPt>
            <c:idx val="782"/>
            <c:marker>
              <c:spPr>
                <a:solidFill>
                  <a:srgbClr val="2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E-83C8-41BD-8277-39864550EC1C}"/>
              </c:ext>
            </c:extLst>
          </c:dPt>
          <c:dPt>
            <c:idx val="783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0F-83C8-41BD-8277-39864550EC1C}"/>
              </c:ext>
            </c:extLst>
          </c:dPt>
          <c:dPt>
            <c:idx val="784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0-83C8-41BD-8277-39864550EC1C}"/>
              </c:ext>
            </c:extLst>
          </c:dPt>
          <c:dPt>
            <c:idx val="785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1-83C8-41BD-8277-39864550EC1C}"/>
              </c:ext>
            </c:extLst>
          </c:dPt>
          <c:dPt>
            <c:idx val="786"/>
            <c:marker>
              <c:spPr>
                <a:solidFill>
                  <a:srgbClr val="2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2-83C8-41BD-8277-39864550EC1C}"/>
              </c:ext>
            </c:extLst>
          </c:dPt>
          <c:dPt>
            <c:idx val="787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3-83C8-41BD-8277-39864550EC1C}"/>
              </c:ext>
            </c:extLst>
          </c:dPt>
          <c:dPt>
            <c:idx val="788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4-83C8-41BD-8277-39864550EC1C}"/>
              </c:ext>
            </c:extLst>
          </c:dPt>
          <c:dPt>
            <c:idx val="789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5-83C8-41BD-8277-39864550EC1C}"/>
              </c:ext>
            </c:extLst>
          </c:dPt>
          <c:dPt>
            <c:idx val="790"/>
            <c:marker>
              <c:spPr>
                <a:solidFill>
                  <a:srgbClr val="2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6-83C8-41BD-8277-39864550EC1C}"/>
              </c:ext>
            </c:extLst>
          </c:dPt>
          <c:dPt>
            <c:idx val="791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7-83C8-41BD-8277-39864550EC1C}"/>
              </c:ext>
            </c:extLst>
          </c:dPt>
          <c:dPt>
            <c:idx val="792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8-83C8-41BD-8277-39864550EC1C}"/>
              </c:ext>
            </c:extLst>
          </c:dPt>
          <c:dPt>
            <c:idx val="793"/>
            <c:marker>
              <c:spPr>
                <a:solidFill>
                  <a:srgbClr val="2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9-83C8-41BD-8277-39864550EC1C}"/>
              </c:ext>
            </c:extLst>
          </c:dPt>
          <c:dPt>
            <c:idx val="794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A-83C8-41BD-8277-39864550EC1C}"/>
              </c:ext>
            </c:extLst>
          </c:dPt>
          <c:dPt>
            <c:idx val="795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B-83C8-41BD-8277-39864550EC1C}"/>
              </c:ext>
            </c:extLst>
          </c:dPt>
          <c:dPt>
            <c:idx val="796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C-83C8-41BD-8277-39864550EC1C}"/>
              </c:ext>
            </c:extLst>
          </c:dPt>
          <c:dPt>
            <c:idx val="797"/>
            <c:marker>
              <c:spPr>
                <a:solidFill>
                  <a:srgbClr val="2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D-83C8-41BD-8277-39864550EC1C}"/>
              </c:ext>
            </c:extLst>
          </c:dPt>
          <c:dPt>
            <c:idx val="798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E-83C8-41BD-8277-39864550EC1C}"/>
              </c:ext>
            </c:extLst>
          </c:dPt>
          <c:dPt>
            <c:idx val="799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1F-83C8-41BD-8277-39864550EC1C}"/>
              </c:ext>
            </c:extLst>
          </c:dPt>
          <c:dPt>
            <c:idx val="800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0-83C8-41BD-8277-39864550EC1C}"/>
              </c:ext>
            </c:extLst>
          </c:dPt>
          <c:dPt>
            <c:idx val="801"/>
            <c:marker>
              <c:spPr>
                <a:solidFill>
                  <a:srgbClr val="2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1-83C8-41BD-8277-39864550EC1C}"/>
              </c:ext>
            </c:extLst>
          </c:dPt>
          <c:dPt>
            <c:idx val="802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2-83C8-41BD-8277-39864550EC1C}"/>
              </c:ext>
            </c:extLst>
          </c:dPt>
          <c:dPt>
            <c:idx val="803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3-83C8-41BD-8277-39864550EC1C}"/>
              </c:ext>
            </c:extLst>
          </c:dPt>
          <c:dPt>
            <c:idx val="804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4-83C8-41BD-8277-39864550EC1C}"/>
              </c:ext>
            </c:extLst>
          </c:dPt>
          <c:dPt>
            <c:idx val="805"/>
            <c:marker>
              <c:spPr>
                <a:solidFill>
                  <a:srgbClr val="2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5-83C8-41BD-8277-39864550EC1C}"/>
              </c:ext>
            </c:extLst>
          </c:dPt>
          <c:dPt>
            <c:idx val="806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6-83C8-41BD-8277-39864550EC1C}"/>
              </c:ext>
            </c:extLst>
          </c:dPt>
          <c:dPt>
            <c:idx val="807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7-83C8-41BD-8277-39864550EC1C}"/>
              </c:ext>
            </c:extLst>
          </c:dPt>
          <c:dPt>
            <c:idx val="808"/>
            <c:marker>
              <c:spPr>
                <a:solidFill>
                  <a:srgbClr val="2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8-83C8-41BD-8277-39864550EC1C}"/>
              </c:ext>
            </c:extLst>
          </c:dPt>
          <c:dPt>
            <c:idx val="809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9-83C8-41BD-8277-39864550EC1C}"/>
              </c:ext>
            </c:extLst>
          </c:dPt>
          <c:dPt>
            <c:idx val="810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A-83C8-41BD-8277-39864550EC1C}"/>
              </c:ext>
            </c:extLst>
          </c:dPt>
          <c:dPt>
            <c:idx val="811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B-83C8-41BD-8277-39864550EC1C}"/>
              </c:ext>
            </c:extLst>
          </c:dPt>
          <c:dPt>
            <c:idx val="812"/>
            <c:marker>
              <c:spPr>
                <a:solidFill>
                  <a:srgbClr val="2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C-83C8-41BD-8277-39864550EC1C}"/>
              </c:ext>
            </c:extLst>
          </c:dPt>
          <c:dPt>
            <c:idx val="813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D-83C8-41BD-8277-39864550EC1C}"/>
              </c:ext>
            </c:extLst>
          </c:dPt>
          <c:dPt>
            <c:idx val="814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E-83C8-41BD-8277-39864550EC1C}"/>
              </c:ext>
            </c:extLst>
          </c:dPt>
          <c:dPt>
            <c:idx val="815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2F-83C8-41BD-8277-39864550EC1C}"/>
              </c:ext>
            </c:extLst>
          </c:dPt>
          <c:dPt>
            <c:idx val="816"/>
            <c:marker>
              <c:spPr>
                <a:solidFill>
                  <a:srgbClr val="2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0-83C8-41BD-8277-39864550EC1C}"/>
              </c:ext>
            </c:extLst>
          </c:dPt>
          <c:dPt>
            <c:idx val="817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1-83C8-41BD-8277-39864550EC1C}"/>
              </c:ext>
            </c:extLst>
          </c:dPt>
          <c:dPt>
            <c:idx val="818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2-83C8-41BD-8277-39864550EC1C}"/>
              </c:ext>
            </c:extLst>
          </c:dPt>
          <c:dPt>
            <c:idx val="819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3-83C8-41BD-8277-39864550EC1C}"/>
              </c:ext>
            </c:extLst>
          </c:dPt>
          <c:dPt>
            <c:idx val="820"/>
            <c:marker>
              <c:spPr>
                <a:solidFill>
                  <a:srgbClr val="2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4-83C8-41BD-8277-39864550EC1C}"/>
              </c:ext>
            </c:extLst>
          </c:dPt>
          <c:dPt>
            <c:idx val="821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5-83C8-41BD-8277-39864550EC1C}"/>
              </c:ext>
            </c:extLst>
          </c:dPt>
          <c:dPt>
            <c:idx val="822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6-83C8-41BD-8277-39864550EC1C}"/>
              </c:ext>
            </c:extLst>
          </c:dPt>
          <c:dPt>
            <c:idx val="823"/>
            <c:marker>
              <c:spPr>
                <a:solidFill>
                  <a:srgbClr val="2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7-83C8-41BD-8277-39864550EC1C}"/>
              </c:ext>
            </c:extLst>
          </c:dPt>
          <c:dPt>
            <c:idx val="824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8-83C8-41BD-8277-39864550EC1C}"/>
              </c:ext>
            </c:extLst>
          </c:dPt>
          <c:dPt>
            <c:idx val="825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9-83C8-41BD-8277-39864550EC1C}"/>
              </c:ext>
            </c:extLst>
          </c:dPt>
          <c:dPt>
            <c:idx val="826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A-83C8-41BD-8277-39864550EC1C}"/>
              </c:ext>
            </c:extLst>
          </c:dPt>
          <c:dPt>
            <c:idx val="827"/>
            <c:marker>
              <c:spPr>
                <a:solidFill>
                  <a:srgbClr val="2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B-83C8-41BD-8277-39864550EC1C}"/>
              </c:ext>
            </c:extLst>
          </c:dPt>
          <c:dPt>
            <c:idx val="828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C-83C8-41BD-8277-39864550EC1C}"/>
              </c:ext>
            </c:extLst>
          </c:dPt>
          <c:dPt>
            <c:idx val="829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D-83C8-41BD-8277-39864550EC1C}"/>
              </c:ext>
            </c:extLst>
          </c:dPt>
          <c:dPt>
            <c:idx val="830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E-83C8-41BD-8277-39864550EC1C}"/>
              </c:ext>
            </c:extLst>
          </c:dPt>
          <c:dPt>
            <c:idx val="831"/>
            <c:marker>
              <c:spPr>
                <a:solidFill>
                  <a:srgbClr val="2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3F-83C8-41BD-8277-39864550EC1C}"/>
              </c:ext>
            </c:extLst>
          </c:dPt>
          <c:dPt>
            <c:idx val="832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0-83C8-41BD-8277-39864550EC1C}"/>
              </c:ext>
            </c:extLst>
          </c:dPt>
          <c:dPt>
            <c:idx val="833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1-83C8-41BD-8277-39864550EC1C}"/>
              </c:ext>
            </c:extLst>
          </c:dPt>
          <c:dPt>
            <c:idx val="834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2-83C8-41BD-8277-39864550EC1C}"/>
              </c:ext>
            </c:extLst>
          </c:dPt>
          <c:dPt>
            <c:idx val="835"/>
            <c:marker>
              <c:spPr>
                <a:solidFill>
                  <a:srgbClr val="2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3-83C8-41BD-8277-39864550EC1C}"/>
              </c:ext>
            </c:extLst>
          </c:dPt>
          <c:dPt>
            <c:idx val="836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4-83C8-41BD-8277-39864550EC1C}"/>
              </c:ext>
            </c:extLst>
          </c:dPt>
          <c:dPt>
            <c:idx val="837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5-83C8-41BD-8277-39864550EC1C}"/>
              </c:ext>
            </c:extLst>
          </c:dPt>
          <c:dPt>
            <c:idx val="838"/>
            <c:marker>
              <c:spPr>
                <a:solidFill>
                  <a:srgbClr val="1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6-83C8-41BD-8277-39864550EC1C}"/>
              </c:ext>
            </c:extLst>
          </c:dPt>
          <c:dPt>
            <c:idx val="839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7-83C8-41BD-8277-39864550EC1C}"/>
              </c:ext>
            </c:extLst>
          </c:dPt>
          <c:dPt>
            <c:idx val="840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8-83C8-41BD-8277-39864550EC1C}"/>
              </c:ext>
            </c:extLst>
          </c:dPt>
          <c:dPt>
            <c:idx val="841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9-83C8-41BD-8277-39864550EC1C}"/>
              </c:ext>
            </c:extLst>
          </c:dPt>
          <c:dPt>
            <c:idx val="842"/>
            <c:marker>
              <c:spPr>
                <a:solidFill>
                  <a:srgbClr val="1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A-83C8-41BD-8277-39864550EC1C}"/>
              </c:ext>
            </c:extLst>
          </c:dPt>
          <c:dPt>
            <c:idx val="843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B-83C8-41BD-8277-39864550EC1C}"/>
              </c:ext>
            </c:extLst>
          </c:dPt>
          <c:dPt>
            <c:idx val="844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C-83C8-41BD-8277-39864550EC1C}"/>
              </c:ext>
            </c:extLst>
          </c:dPt>
          <c:dPt>
            <c:idx val="845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D-83C8-41BD-8277-39864550EC1C}"/>
              </c:ext>
            </c:extLst>
          </c:dPt>
          <c:dPt>
            <c:idx val="846"/>
            <c:marker>
              <c:spPr>
                <a:solidFill>
                  <a:srgbClr val="1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E-83C8-41BD-8277-39864550EC1C}"/>
              </c:ext>
            </c:extLst>
          </c:dPt>
          <c:dPt>
            <c:idx val="847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4F-83C8-41BD-8277-39864550EC1C}"/>
              </c:ext>
            </c:extLst>
          </c:dPt>
          <c:dPt>
            <c:idx val="848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0-83C8-41BD-8277-39864550EC1C}"/>
              </c:ext>
            </c:extLst>
          </c:dPt>
          <c:dPt>
            <c:idx val="849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1-83C8-41BD-8277-39864550EC1C}"/>
              </c:ext>
            </c:extLst>
          </c:dPt>
          <c:dPt>
            <c:idx val="850"/>
            <c:marker>
              <c:spPr>
                <a:solidFill>
                  <a:srgbClr val="1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2-83C8-41BD-8277-39864550EC1C}"/>
              </c:ext>
            </c:extLst>
          </c:dPt>
          <c:dPt>
            <c:idx val="851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3-83C8-41BD-8277-39864550EC1C}"/>
              </c:ext>
            </c:extLst>
          </c:dPt>
          <c:dPt>
            <c:idx val="852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4-83C8-41BD-8277-39864550EC1C}"/>
              </c:ext>
            </c:extLst>
          </c:dPt>
          <c:dPt>
            <c:idx val="853"/>
            <c:marker>
              <c:spPr>
                <a:solidFill>
                  <a:srgbClr val="1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5-83C8-41BD-8277-39864550EC1C}"/>
              </c:ext>
            </c:extLst>
          </c:dPt>
          <c:dPt>
            <c:idx val="854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6-83C8-41BD-8277-39864550EC1C}"/>
              </c:ext>
            </c:extLst>
          </c:dPt>
          <c:dPt>
            <c:idx val="855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7-83C8-41BD-8277-39864550EC1C}"/>
              </c:ext>
            </c:extLst>
          </c:dPt>
          <c:dPt>
            <c:idx val="856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8-83C8-41BD-8277-39864550EC1C}"/>
              </c:ext>
            </c:extLst>
          </c:dPt>
          <c:dPt>
            <c:idx val="857"/>
            <c:marker>
              <c:spPr>
                <a:solidFill>
                  <a:srgbClr val="1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9-83C8-41BD-8277-39864550EC1C}"/>
              </c:ext>
            </c:extLst>
          </c:dPt>
          <c:dPt>
            <c:idx val="858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A-83C8-41BD-8277-39864550EC1C}"/>
              </c:ext>
            </c:extLst>
          </c:dPt>
          <c:dPt>
            <c:idx val="859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B-83C8-41BD-8277-39864550EC1C}"/>
              </c:ext>
            </c:extLst>
          </c:dPt>
          <c:dPt>
            <c:idx val="860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C-83C8-41BD-8277-39864550EC1C}"/>
              </c:ext>
            </c:extLst>
          </c:dPt>
          <c:dPt>
            <c:idx val="861"/>
            <c:marker>
              <c:spPr>
                <a:solidFill>
                  <a:srgbClr val="1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D-83C8-41BD-8277-39864550EC1C}"/>
              </c:ext>
            </c:extLst>
          </c:dPt>
          <c:dPt>
            <c:idx val="862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E-83C8-41BD-8277-39864550EC1C}"/>
              </c:ext>
            </c:extLst>
          </c:dPt>
          <c:dPt>
            <c:idx val="863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5F-83C8-41BD-8277-39864550EC1C}"/>
              </c:ext>
            </c:extLst>
          </c:dPt>
          <c:dPt>
            <c:idx val="864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0-83C8-41BD-8277-39864550EC1C}"/>
              </c:ext>
            </c:extLst>
          </c:dPt>
          <c:dPt>
            <c:idx val="865"/>
            <c:marker>
              <c:spPr>
                <a:solidFill>
                  <a:srgbClr val="1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1-83C8-41BD-8277-39864550EC1C}"/>
              </c:ext>
            </c:extLst>
          </c:dPt>
          <c:dPt>
            <c:idx val="866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2-83C8-41BD-8277-39864550EC1C}"/>
              </c:ext>
            </c:extLst>
          </c:dPt>
          <c:dPt>
            <c:idx val="867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3-83C8-41BD-8277-39864550EC1C}"/>
              </c:ext>
            </c:extLst>
          </c:dPt>
          <c:dPt>
            <c:idx val="868"/>
            <c:marker>
              <c:spPr>
                <a:solidFill>
                  <a:srgbClr val="1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4-83C8-41BD-8277-39864550EC1C}"/>
              </c:ext>
            </c:extLst>
          </c:dPt>
          <c:dPt>
            <c:idx val="869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5-83C8-41BD-8277-39864550EC1C}"/>
              </c:ext>
            </c:extLst>
          </c:dPt>
          <c:dPt>
            <c:idx val="870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6-83C8-41BD-8277-39864550EC1C}"/>
              </c:ext>
            </c:extLst>
          </c:dPt>
          <c:dPt>
            <c:idx val="871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7-83C8-41BD-8277-39864550EC1C}"/>
              </c:ext>
            </c:extLst>
          </c:dPt>
          <c:dPt>
            <c:idx val="872"/>
            <c:marker>
              <c:spPr>
                <a:solidFill>
                  <a:srgbClr val="1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8-83C8-41BD-8277-39864550EC1C}"/>
              </c:ext>
            </c:extLst>
          </c:dPt>
          <c:dPt>
            <c:idx val="873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9-83C8-41BD-8277-39864550EC1C}"/>
              </c:ext>
            </c:extLst>
          </c:dPt>
          <c:dPt>
            <c:idx val="874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A-83C8-41BD-8277-39864550EC1C}"/>
              </c:ext>
            </c:extLst>
          </c:dPt>
          <c:dPt>
            <c:idx val="875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B-83C8-41BD-8277-39864550EC1C}"/>
              </c:ext>
            </c:extLst>
          </c:dPt>
          <c:dPt>
            <c:idx val="876"/>
            <c:marker>
              <c:spPr>
                <a:solidFill>
                  <a:srgbClr val="1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C-83C8-41BD-8277-39864550EC1C}"/>
              </c:ext>
            </c:extLst>
          </c:dPt>
          <c:dPt>
            <c:idx val="877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D-83C8-41BD-8277-39864550EC1C}"/>
              </c:ext>
            </c:extLst>
          </c:dPt>
          <c:dPt>
            <c:idx val="878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E-83C8-41BD-8277-39864550EC1C}"/>
              </c:ext>
            </c:extLst>
          </c:dPt>
          <c:dPt>
            <c:idx val="879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6F-83C8-41BD-8277-39864550EC1C}"/>
              </c:ext>
            </c:extLst>
          </c:dPt>
          <c:dPt>
            <c:idx val="880"/>
            <c:marker>
              <c:spPr>
                <a:solidFill>
                  <a:srgbClr val="1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0-83C8-41BD-8277-39864550EC1C}"/>
              </c:ext>
            </c:extLst>
          </c:dPt>
          <c:dPt>
            <c:idx val="881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1-83C8-41BD-8277-39864550EC1C}"/>
              </c:ext>
            </c:extLst>
          </c:dPt>
          <c:dPt>
            <c:idx val="882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2-83C8-41BD-8277-39864550EC1C}"/>
              </c:ext>
            </c:extLst>
          </c:dPt>
          <c:dPt>
            <c:idx val="883"/>
            <c:marker>
              <c:spPr>
                <a:solidFill>
                  <a:srgbClr val="1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3-83C8-41BD-8277-39864550EC1C}"/>
              </c:ext>
            </c:extLst>
          </c:dPt>
          <c:dPt>
            <c:idx val="884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4-83C8-41BD-8277-39864550EC1C}"/>
              </c:ext>
            </c:extLst>
          </c:dPt>
          <c:dPt>
            <c:idx val="885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5-83C8-41BD-8277-39864550EC1C}"/>
              </c:ext>
            </c:extLst>
          </c:dPt>
          <c:dPt>
            <c:idx val="886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6-83C8-41BD-8277-39864550EC1C}"/>
              </c:ext>
            </c:extLst>
          </c:dPt>
          <c:dPt>
            <c:idx val="887"/>
            <c:marker>
              <c:spPr>
                <a:solidFill>
                  <a:srgbClr val="1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7-83C8-41BD-8277-39864550EC1C}"/>
              </c:ext>
            </c:extLst>
          </c:dPt>
          <c:dPt>
            <c:idx val="888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8-83C8-41BD-8277-39864550EC1C}"/>
              </c:ext>
            </c:extLst>
          </c:dPt>
          <c:dPt>
            <c:idx val="889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9-83C8-41BD-8277-39864550EC1C}"/>
              </c:ext>
            </c:extLst>
          </c:dPt>
          <c:dPt>
            <c:idx val="890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A-83C8-41BD-8277-39864550EC1C}"/>
              </c:ext>
            </c:extLst>
          </c:dPt>
          <c:dPt>
            <c:idx val="891"/>
            <c:marker>
              <c:spPr>
                <a:solidFill>
                  <a:srgbClr val="1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B-83C8-41BD-8277-39864550EC1C}"/>
              </c:ext>
            </c:extLst>
          </c:dPt>
          <c:dPt>
            <c:idx val="892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C-83C8-41BD-8277-39864550EC1C}"/>
              </c:ext>
            </c:extLst>
          </c:dPt>
          <c:dPt>
            <c:idx val="893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D-83C8-41BD-8277-39864550EC1C}"/>
              </c:ext>
            </c:extLst>
          </c:dPt>
          <c:dPt>
            <c:idx val="894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E-83C8-41BD-8277-39864550EC1C}"/>
              </c:ext>
            </c:extLst>
          </c:dPt>
          <c:dPt>
            <c:idx val="895"/>
            <c:marker>
              <c:spPr>
                <a:solidFill>
                  <a:srgbClr val="1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7F-83C8-41BD-8277-39864550EC1C}"/>
              </c:ext>
            </c:extLst>
          </c:dPt>
          <c:dPt>
            <c:idx val="896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0-83C8-41BD-8277-39864550EC1C}"/>
              </c:ext>
            </c:extLst>
          </c:dPt>
          <c:dPt>
            <c:idx val="897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1-83C8-41BD-8277-39864550EC1C}"/>
              </c:ext>
            </c:extLst>
          </c:dPt>
          <c:dPt>
            <c:idx val="898"/>
            <c:marker>
              <c:spPr>
                <a:solidFill>
                  <a:srgbClr val="0F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2-83C8-41BD-8277-39864550EC1C}"/>
              </c:ext>
            </c:extLst>
          </c:dPt>
          <c:dPt>
            <c:idx val="899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3-83C8-41BD-8277-39864550EC1C}"/>
              </c:ext>
            </c:extLst>
          </c:dPt>
          <c:dPt>
            <c:idx val="900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4-83C8-41BD-8277-39864550EC1C}"/>
              </c:ext>
            </c:extLst>
          </c:dPt>
          <c:dPt>
            <c:idx val="901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5-83C8-41BD-8277-39864550EC1C}"/>
              </c:ext>
            </c:extLst>
          </c:dPt>
          <c:dPt>
            <c:idx val="902"/>
            <c:marker>
              <c:spPr>
                <a:solidFill>
                  <a:srgbClr val="0E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6-83C8-41BD-8277-39864550EC1C}"/>
              </c:ext>
            </c:extLst>
          </c:dPt>
          <c:dPt>
            <c:idx val="903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7-83C8-41BD-8277-39864550EC1C}"/>
              </c:ext>
            </c:extLst>
          </c:dPt>
          <c:dPt>
            <c:idx val="904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8-83C8-41BD-8277-39864550EC1C}"/>
              </c:ext>
            </c:extLst>
          </c:dPt>
          <c:dPt>
            <c:idx val="905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9-83C8-41BD-8277-39864550EC1C}"/>
              </c:ext>
            </c:extLst>
          </c:dPt>
          <c:dPt>
            <c:idx val="906"/>
            <c:marker>
              <c:spPr>
                <a:solidFill>
                  <a:srgbClr val="0D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A-83C8-41BD-8277-39864550EC1C}"/>
              </c:ext>
            </c:extLst>
          </c:dPt>
          <c:dPt>
            <c:idx val="907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B-83C8-41BD-8277-39864550EC1C}"/>
              </c:ext>
            </c:extLst>
          </c:dPt>
          <c:dPt>
            <c:idx val="908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C-83C8-41BD-8277-39864550EC1C}"/>
              </c:ext>
            </c:extLst>
          </c:dPt>
          <c:dPt>
            <c:idx val="909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D-83C8-41BD-8277-39864550EC1C}"/>
              </c:ext>
            </c:extLst>
          </c:dPt>
          <c:dPt>
            <c:idx val="910"/>
            <c:marker>
              <c:spPr>
                <a:solidFill>
                  <a:srgbClr val="0C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E-83C8-41BD-8277-39864550EC1C}"/>
              </c:ext>
            </c:extLst>
          </c:dPt>
          <c:dPt>
            <c:idx val="911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8F-83C8-41BD-8277-39864550EC1C}"/>
              </c:ext>
            </c:extLst>
          </c:dPt>
          <c:dPt>
            <c:idx val="912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0-83C8-41BD-8277-39864550EC1C}"/>
              </c:ext>
            </c:extLst>
          </c:dPt>
          <c:dPt>
            <c:idx val="913"/>
            <c:marker>
              <c:spPr>
                <a:solidFill>
                  <a:srgbClr val="0B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1-83C8-41BD-8277-39864550EC1C}"/>
              </c:ext>
            </c:extLst>
          </c:dPt>
          <c:dPt>
            <c:idx val="914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2-83C8-41BD-8277-39864550EC1C}"/>
              </c:ext>
            </c:extLst>
          </c:dPt>
          <c:dPt>
            <c:idx val="915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3-83C8-41BD-8277-39864550EC1C}"/>
              </c:ext>
            </c:extLst>
          </c:dPt>
          <c:dPt>
            <c:idx val="916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4-83C8-41BD-8277-39864550EC1C}"/>
              </c:ext>
            </c:extLst>
          </c:dPt>
          <c:dPt>
            <c:idx val="917"/>
            <c:marker>
              <c:spPr>
                <a:solidFill>
                  <a:srgbClr val="0A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5-83C8-41BD-8277-39864550EC1C}"/>
              </c:ext>
            </c:extLst>
          </c:dPt>
          <c:dPt>
            <c:idx val="918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6-83C8-41BD-8277-39864550EC1C}"/>
              </c:ext>
            </c:extLst>
          </c:dPt>
          <c:dPt>
            <c:idx val="919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7-83C8-41BD-8277-39864550EC1C}"/>
              </c:ext>
            </c:extLst>
          </c:dPt>
          <c:dPt>
            <c:idx val="920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8-83C8-41BD-8277-39864550EC1C}"/>
              </c:ext>
            </c:extLst>
          </c:dPt>
          <c:dPt>
            <c:idx val="921"/>
            <c:marker>
              <c:spPr>
                <a:solidFill>
                  <a:srgbClr val="09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9-83C8-41BD-8277-39864550EC1C}"/>
              </c:ext>
            </c:extLst>
          </c:dPt>
          <c:dPt>
            <c:idx val="922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A-83C8-41BD-8277-39864550EC1C}"/>
              </c:ext>
            </c:extLst>
          </c:dPt>
          <c:dPt>
            <c:idx val="923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B-83C8-41BD-8277-39864550EC1C}"/>
              </c:ext>
            </c:extLst>
          </c:dPt>
          <c:dPt>
            <c:idx val="924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C-83C8-41BD-8277-39864550EC1C}"/>
              </c:ext>
            </c:extLst>
          </c:dPt>
          <c:dPt>
            <c:idx val="925"/>
            <c:marker>
              <c:spPr>
                <a:solidFill>
                  <a:srgbClr val="08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D-83C8-41BD-8277-39864550EC1C}"/>
              </c:ext>
            </c:extLst>
          </c:dPt>
          <c:dPt>
            <c:idx val="926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E-83C8-41BD-8277-39864550EC1C}"/>
              </c:ext>
            </c:extLst>
          </c:dPt>
          <c:dPt>
            <c:idx val="927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9F-83C8-41BD-8277-39864550EC1C}"/>
              </c:ext>
            </c:extLst>
          </c:dPt>
          <c:dPt>
            <c:idx val="928"/>
            <c:marker>
              <c:spPr>
                <a:solidFill>
                  <a:srgbClr val="07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0-83C8-41BD-8277-39864550EC1C}"/>
              </c:ext>
            </c:extLst>
          </c:dPt>
          <c:dPt>
            <c:idx val="929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1-83C8-41BD-8277-39864550EC1C}"/>
              </c:ext>
            </c:extLst>
          </c:dPt>
          <c:dPt>
            <c:idx val="930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2-83C8-41BD-8277-39864550EC1C}"/>
              </c:ext>
            </c:extLst>
          </c:dPt>
          <c:dPt>
            <c:idx val="931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3-83C8-41BD-8277-39864550EC1C}"/>
              </c:ext>
            </c:extLst>
          </c:dPt>
          <c:dPt>
            <c:idx val="932"/>
            <c:marker>
              <c:spPr>
                <a:solidFill>
                  <a:srgbClr val="06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4-83C8-41BD-8277-39864550EC1C}"/>
              </c:ext>
            </c:extLst>
          </c:dPt>
          <c:dPt>
            <c:idx val="933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5-83C8-41BD-8277-39864550EC1C}"/>
              </c:ext>
            </c:extLst>
          </c:dPt>
          <c:dPt>
            <c:idx val="934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6-83C8-41BD-8277-39864550EC1C}"/>
              </c:ext>
            </c:extLst>
          </c:dPt>
          <c:dPt>
            <c:idx val="935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7-83C8-41BD-8277-39864550EC1C}"/>
              </c:ext>
            </c:extLst>
          </c:dPt>
          <c:dPt>
            <c:idx val="936"/>
            <c:marker>
              <c:spPr>
                <a:solidFill>
                  <a:srgbClr val="05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8-83C8-41BD-8277-39864550EC1C}"/>
              </c:ext>
            </c:extLst>
          </c:dPt>
          <c:dPt>
            <c:idx val="937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9-83C8-41BD-8277-39864550EC1C}"/>
              </c:ext>
            </c:extLst>
          </c:dPt>
          <c:dPt>
            <c:idx val="938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A-83C8-41BD-8277-39864550EC1C}"/>
              </c:ext>
            </c:extLst>
          </c:dPt>
          <c:dPt>
            <c:idx val="939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B-83C8-41BD-8277-39864550EC1C}"/>
              </c:ext>
            </c:extLst>
          </c:dPt>
          <c:dPt>
            <c:idx val="940"/>
            <c:marker>
              <c:spPr>
                <a:solidFill>
                  <a:srgbClr val="04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C-83C8-41BD-8277-39864550EC1C}"/>
              </c:ext>
            </c:extLst>
          </c:dPt>
          <c:dPt>
            <c:idx val="941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D-83C8-41BD-8277-39864550EC1C}"/>
              </c:ext>
            </c:extLst>
          </c:dPt>
          <c:dPt>
            <c:idx val="942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E-83C8-41BD-8277-39864550EC1C}"/>
              </c:ext>
            </c:extLst>
          </c:dPt>
          <c:dPt>
            <c:idx val="943"/>
            <c:marker>
              <c:spPr>
                <a:solidFill>
                  <a:srgbClr val="03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AF-83C8-41BD-8277-39864550EC1C}"/>
              </c:ext>
            </c:extLst>
          </c:dPt>
          <c:dPt>
            <c:idx val="944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0-83C8-41BD-8277-39864550EC1C}"/>
              </c:ext>
            </c:extLst>
          </c:dPt>
          <c:dPt>
            <c:idx val="945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1-83C8-41BD-8277-39864550EC1C}"/>
              </c:ext>
            </c:extLst>
          </c:dPt>
          <c:dPt>
            <c:idx val="946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2-83C8-41BD-8277-39864550EC1C}"/>
              </c:ext>
            </c:extLst>
          </c:dPt>
          <c:dPt>
            <c:idx val="947"/>
            <c:marker>
              <c:spPr>
                <a:solidFill>
                  <a:srgbClr val="02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3-83C8-41BD-8277-39864550EC1C}"/>
              </c:ext>
            </c:extLst>
          </c:dPt>
          <c:dPt>
            <c:idx val="948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4-83C8-41BD-8277-39864550EC1C}"/>
              </c:ext>
            </c:extLst>
          </c:dPt>
          <c:dPt>
            <c:idx val="949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5-83C8-41BD-8277-39864550EC1C}"/>
              </c:ext>
            </c:extLst>
          </c:dPt>
          <c:dPt>
            <c:idx val="950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6-83C8-41BD-8277-39864550EC1C}"/>
              </c:ext>
            </c:extLst>
          </c:dPt>
          <c:dPt>
            <c:idx val="951"/>
            <c:marker>
              <c:spPr>
                <a:solidFill>
                  <a:srgbClr val="01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7-83C8-41BD-8277-39864550EC1C}"/>
              </c:ext>
            </c:extLst>
          </c:dPt>
          <c:dPt>
            <c:idx val="952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8-83C8-41BD-8277-39864550EC1C}"/>
              </c:ext>
            </c:extLst>
          </c:dPt>
          <c:dPt>
            <c:idx val="953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9-83C8-41BD-8277-39864550EC1C}"/>
              </c:ext>
            </c:extLst>
          </c:dPt>
          <c:dPt>
            <c:idx val="954"/>
            <c:marker>
              <c:spPr>
                <a:solidFill>
                  <a:srgbClr val="00FF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3BA-83C8-41BD-8277-39864550EC1C}"/>
              </c:ext>
            </c:extLst>
          </c:dPt>
          <c:xVal>
            <c:numRef>
              <c:f>gráficos!$A$7:$A$961</c:f>
              <c:numCache>
                <c:formatCode>General</c:formatCode>
                <c:ptCount val="95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</c:numCache>
            </c:numRef>
          </c:xVal>
          <c:yVal>
            <c:numRef>
              <c:f>gráficos!$B$7:$B$961</c:f>
              <c:numCache>
                <c:formatCode>General</c:formatCode>
                <c:ptCount val="95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  <c:pt idx="698">
                  <c:v>#N/A</c:v>
                </c:pt>
                <c:pt idx="699">
                  <c:v>#N/A</c:v>
                </c:pt>
                <c:pt idx="700">
                  <c:v>#N/A</c:v>
                </c:pt>
                <c:pt idx="701">
                  <c:v>#N/A</c:v>
                </c:pt>
                <c:pt idx="702">
                  <c:v>#N/A</c:v>
                </c:pt>
                <c:pt idx="703">
                  <c:v>#N/A</c:v>
                </c:pt>
                <c:pt idx="704">
                  <c:v>#N/A</c:v>
                </c:pt>
                <c:pt idx="705">
                  <c:v>#N/A</c:v>
                </c:pt>
                <c:pt idx="706">
                  <c:v>#N/A</c:v>
                </c:pt>
                <c:pt idx="707">
                  <c:v>#N/A</c:v>
                </c:pt>
                <c:pt idx="708">
                  <c:v>#N/A</c:v>
                </c:pt>
                <c:pt idx="709">
                  <c:v>#N/A</c:v>
                </c:pt>
                <c:pt idx="710">
                  <c:v>#N/A</c:v>
                </c:pt>
                <c:pt idx="711">
                  <c:v>#N/A</c:v>
                </c:pt>
                <c:pt idx="712">
                  <c:v>#N/A</c:v>
                </c:pt>
                <c:pt idx="713">
                  <c:v>#N/A</c:v>
                </c:pt>
                <c:pt idx="714">
                  <c:v>#N/A</c:v>
                </c:pt>
                <c:pt idx="715">
                  <c:v>#N/A</c:v>
                </c:pt>
                <c:pt idx="716">
                  <c:v>#N/A</c:v>
                </c:pt>
                <c:pt idx="717">
                  <c:v>#N/A</c:v>
                </c:pt>
                <c:pt idx="718">
                  <c:v>#N/A</c:v>
                </c:pt>
                <c:pt idx="719">
                  <c:v>#N/A</c:v>
                </c:pt>
                <c:pt idx="720">
                  <c:v>#N/A</c:v>
                </c:pt>
                <c:pt idx="721">
                  <c:v>#N/A</c:v>
                </c:pt>
                <c:pt idx="722">
                  <c:v>#N/A</c:v>
                </c:pt>
                <c:pt idx="723">
                  <c:v>#N/A</c:v>
                </c:pt>
                <c:pt idx="724">
                  <c:v>#N/A</c:v>
                </c:pt>
                <c:pt idx="725">
                  <c:v>#N/A</c:v>
                </c:pt>
                <c:pt idx="726">
                  <c:v>#N/A</c:v>
                </c:pt>
                <c:pt idx="727">
                  <c:v>#N/A</c:v>
                </c:pt>
                <c:pt idx="728">
                  <c:v>#N/A</c:v>
                </c:pt>
                <c:pt idx="729">
                  <c:v>#N/A</c:v>
                </c:pt>
                <c:pt idx="730">
                  <c:v>#N/A</c:v>
                </c:pt>
                <c:pt idx="731">
                  <c:v>#N/A</c:v>
                </c:pt>
                <c:pt idx="732">
                  <c:v>#N/A</c:v>
                </c:pt>
                <c:pt idx="733">
                  <c:v>#N/A</c:v>
                </c:pt>
                <c:pt idx="734">
                  <c:v>#N/A</c:v>
                </c:pt>
                <c:pt idx="735">
                  <c:v>#N/A</c:v>
                </c:pt>
                <c:pt idx="736">
                  <c:v>#N/A</c:v>
                </c:pt>
                <c:pt idx="737">
                  <c:v>#N/A</c:v>
                </c:pt>
                <c:pt idx="738">
                  <c:v>#N/A</c:v>
                </c:pt>
                <c:pt idx="739">
                  <c:v>#N/A</c:v>
                </c:pt>
                <c:pt idx="740">
                  <c:v>#N/A</c:v>
                </c:pt>
                <c:pt idx="741">
                  <c:v>#N/A</c:v>
                </c:pt>
                <c:pt idx="742">
                  <c:v>#N/A</c:v>
                </c:pt>
                <c:pt idx="743">
                  <c:v>#N/A</c:v>
                </c:pt>
                <c:pt idx="744">
                  <c:v>#N/A</c:v>
                </c:pt>
                <c:pt idx="745">
                  <c:v>#N/A</c:v>
                </c:pt>
                <c:pt idx="746">
                  <c:v>#N/A</c:v>
                </c:pt>
                <c:pt idx="747">
                  <c:v>#N/A</c:v>
                </c:pt>
                <c:pt idx="748">
                  <c:v>#N/A</c:v>
                </c:pt>
                <c:pt idx="749">
                  <c:v>#N/A</c:v>
                </c:pt>
                <c:pt idx="750">
                  <c:v>#N/A</c:v>
                </c:pt>
                <c:pt idx="751">
                  <c:v>#N/A</c:v>
                </c:pt>
                <c:pt idx="752">
                  <c:v>#N/A</c:v>
                </c:pt>
                <c:pt idx="753">
                  <c:v>#N/A</c:v>
                </c:pt>
                <c:pt idx="754">
                  <c:v>#N/A</c:v>
                </c:pt>
                <c:pt idx="755">
                  <c:v>#N/A</c:v>
                </c:pt>
                <c:pt idx="756">
                  <c:v>#N/A</c:v>
                </c:pt>
                <c:pt idx="757">
                  <c:v>#N/A</c:v>
                </c:pt>
                <c:pt idx="758">
                  <c:v>#N/A</c:v>
                </c:pt>
                <c:pt idx="759">
                  <c:v>#N/A</c:v>
                </c:pt>
                <c:pt idx="760">
                  <c:v>#N/A</c:v>
                </c:pt>
                <c:pt idx="761">
                  <c:v>#N/A</c:v>
                </c:pt>
                <c:pt idx="762">
                  <c:v>#N/A</c:v>
                </c:pt>
                <c:pt idx="763">
                  <c:v>#N/A</c:v>
                </c:pt>
                <c:pt idx="764">
                  <c:v>#N/A</c:v>
                </c:pt>
                <c:pt idx="765">
                  <c:v>#N/A</c:v>
                </c:pt>
                <c:pt idx="766">
                  <c:v>#N/A</c:v>
                </c:pt>
                <c:pt idx="767">
                  <c:v>#N/A</c:v>
                </c:pt>
                <c:pt idx="768">
                  <c:v>#N/A</c:v>
                </c:pt>
                <c:pt idx="769">
                  <c:v>#N/A</c:v>
                </c:pt>
                <c:pt idx="770">
                  <c:v>#N/A</c:v>
                </c:pt>
                <c:pt idx="771">
                  <c:v>#N/A</c:v>
                </c:pt>
                <c:pt idx="772">
                  <c:v>#N/A</c:v>
                </c:pt>
                <c:pt idx="773">
                  <c:v>#N/A</c:v>
                </c:pt>
                <c:pt idx="774">
                  <c:v>#N/A</c:v>
                </c:pt>
                <c:pt idx="775">
                  <c:v>#N/A</c:v>
                </c:pt>
                <c:pt idx="776">
                  <c:v>#N/A</c:v>
                </c:pt>
                <c:pt idx="777">
                  <c:v>#N/A</c:v>
                </c:pt>
                <c:pt idx="778">
                  <c:v>#N/A</c:v>
                </c:pt>
                <c:pt idx="779">
                  <c:v>#N/A</c:v>
                </c:pt>
                <c:pt idx="780">
                  <c:v>#N/A</c:v>
                </c:pt>
                <c:pt idx="781">
                  <c:v>#N/A</c:v>
                </c:pt>
                <c:pt idx="782">
                  <c:v>#N/A</c:v>
                </c:pt>
                <c:pt idx="783">
                  <c:v>#N/A</c:v>
                </c:pt>
                <c:pt idx="784">
                  <c:v>#N/A</c:v>
                </c:pt>
                <c:pt idx="785">
                  <c:v>#N/A</c:v>
                </c:pt>
                <c:pt idx="786">
                  <c:v>#N/A</c:v>
                </c:pt>
                <c:pt idx="787">
                  <c:v>#N/A</c:v>
                </c:pt>
                <c:pt idx="788">
                  <c:v>#N/A</c:v>
                </c:pt>
                <c:pt idx="789">
                  <c:v>#N/A</c:v>
                </c:pt>
                <c:pt idx="790">
                  <c:v>#N/A</c:v>
                </c:pt>
                <c:pt idx="791">
                  <c:v>#N/A</c:v>
                </c:pt>
                <c:pt idx="792">
                  <c:v>#N/A</c:v>
                </c:pt>
                <c:pt idx="793">
                  <c:v>#N/A</c:v>
                </c:pt>
                <c:pt idx="794">
                  <c:v>#N/A</c:v>
                </c:pt>
                <c:pt idx="795">
                  <c:v>#N/A</c:v>
                </c:pt>
                <c:pt idx="796">
                  <c:v>#N/A</c:v>
                </c:pt>
                <c:pt idx="797">
                  <c:v>#N/A</c:v>
                </c:pt>
                <c:pt idx="798">
                  <c:v>#N/A</c:v>
                </c:pt>
                <c:pt idx="799">
                  <c:v>#N/A</c:v>
                </c:pt>
                <c:pt idx="800">
                  <c:v>#N/A</c:v>
                </c:pt>
                <c:pt idx="801">
                  <c:v>#N/A</c:v>
                </c:pt>
                <c:pt idx="802">
                  <c:v>#N/A</c:v>
                </c:pt>
                <c:pt idx="803">
                  <c:v>#N/A</c:v>
                </c:pt>
                <c:pt idx="804">
                  <c:v>#N/A</c:v>
                </c:pt>
                <c:pt idx="805">
                  <c:v>#N/A</c:v>
                </c:pt>
                <c:pt idx="806">
                  <c:v>#N/A</c:v>
                </c:pt>
                <c:pt idx="807">
                  <c:v>#N/A</c:v>
                </c:pt>
                <c:pt idx="808">
                  <c:v>#N/A</c:v>
                </c:pt>
                <c:pt idx="809">
                  <c:v>#N/A</c:v>
                </c:pt>
                <c:pt idx="810">
                  <c:v>#N/A</c:v>
                </c:pt>
                <c:pt idx="811">
                  <c:v>#N/A</c:v>
                </c:pt>
                <c:pt idx="812">
                  <c:v>#N/A</c:v>
                </c:pt>
                <c:pt idx="813">
                  <c:v>#N/A</c:v>
                </c:pt>
                <c:pt idx="814">
                  <c:v>#N/A</c:v>
                </c:pt>
                <c:pt idx="815">
                  <c:v>#N/A</c:v>
                </c:pt>
                <c:pt idx="816">
                  <c:v>#N/A</c:v>
                </c:pt>
                <c:pt idx="817">
                  <c:v>#N/A</c:v>
                </c:pt>
                <c:pt idx="818">
                  <c:v>#N/A</c:v>
                </c:pt>
                <c:pt idx="819">
                  <c:v>#N/A</c:v>
                </c:pt>
                <c:pt idx="820">
                  <c:v>#N/A</c:v>
                </c:pt>
                <c:pt idx="821">
                  <c:v>#N/A</c:v>
                </c:pt>
                <c:pt idx="822">
                  <c:v>#N/A</c:v>
                </c:pt>
                <c:pt idx="823">
                  <c:v>#N/A</c:v>
                </c:pt>
                <c:pt idx="824">
                  <c:v>#N/A</c:v>
                </c:pt>
                <c:pt idx="825">
                  <c:v>#N/A</c:v>
                </c:pt>
                <c:pt idx="826">
                  <c:v>#N/A</c:v>
                </c:pt>
                <c:pt idx="827">
                  <c:v>#N/A</c:v>
                </c:pt>
                <c:pt idx="828">
                  <c:v>#N/A</c:v>
                </c:pt>
                <c:pt idx="829">
                  <c:v>#N/A</c:v>
                </c:pt>
                <c:pt idx="830">
                  <c:v>#N/A</c:v>
                </c:pt>
                <c:pt idx="831">
                  <c:v>#N/A</c:v>
                </c:pt>
                <c:pt idx="832">
                  <c:v>#N/A</c:v>
                </c:pt>
                <c:pt idx="833">
                  <c:v>#N/A</c:v>
                </c:pt>
                <c:pt idx="834">
                  <c:v>#N/A</c:v>
                </c:pt>
                <c:pt idx="835">
                  <c:v>#N/A</c:v>
                </c:pt>
                <c:pt idx="836">
                  <c:v>#N/A</c:v>
                </c:pt>
                <c:pt idx="837">
                  <c:v>#N/A</c:v>
                </c:pt>
                <c:pt idx="838">
                  <c:v>#N/A</c:v>
                </c:pt>
                <c:pt idx="839">
                  <c:v>#N/A</c:v>
                </c:pt>
                <c:pt idx="840">
                  <c:v>#N/A</c:v>
                </c:pt>
                <c:pt idx="841">
                  <c:v>#N/A</c:v>
                </c:pt>
                <c:pt idx="842">
                  <c:v>#N/A</c:v>
                </c:pt>
                <c:pt idx="843">
                  <c:v>#N/A</c:v>
                </c:pt>
                <c:pt idx="844">
                  <c:v>#N/A</c:v>
                </c:pt>
                <c:pt idx="845">
                  <c:v>#N/A</c:v>
                </c:pt>
                <c:pt idx="846">
                  <c:v>#N/A</c:v>
                </c:pt>
                <c:pt idx="847">
                  <c:v>#N/A</c:v>
                </c:pt>
                <c:pt idx="848">
                  <c:v>#N/A</c:v>
                </c:pt>
                <c:pt idx="849">
                  <c:v>#N/A</c:v>
                </c:pt>
                <c:pt idx="850">
                  <c:v>#N/A</c:v>
                </c:pt>
                <c:pt idx="851">
                  <c:v>#N/A</c:v>
                </c:pt>
                <c:pt idx="852">
                  <c:v>#N/A</c:v>
                </c:pt>
                <c:pt idx="853">
                  <c:v>#N/A</c:v>
                </c:pt>
                <c:pt idx="854">
                  <c:v>#N/A</c:v>
                </c:pt>
                <c:pt idx="855">
                  <c:v>#N/A</c:v>
                </c:pt>
                <c:pt idx="856">
                  <c:v>#N/A</c:v>
                </c:pt>
                <c:pt idx="857">
                  <c:v>#N/A</c:v>
                </c:pt>
                <c:pt idx="858">
                  <c:v>#N/A</c:v>
                </c:pt>
                <c:pt idx="859">
                  <c:v>#N/A</c:v>
                </c:pt>
                <c:pt idx="860">
                  <c:v>#N/A</c:v>
                </c:pt>
                <c:pt idx="861">
                  <c:v>#N/A</c:v>
                </c:pt>
                <c:pt idx="862">
                  <c:v>#N/A</c:v>
                </c:pt>
                <c:pt idx="863">
                  <c:v>#N/A</c:v>
                </c:pt>
                <c:pt idx="864">
                  <c:v>#N/A</c:v>
                </c:pt>
                <c:pt idx="865">
                  <c:v>#N/A</c:v>
                </c:pt>
                <c:pt idx="866">
                  <c:v>#N/A</c:v>
                </c:pt>
                <c:pt idx="867">
                  <c:v>#N/A</c:v>
                </c:pt>
                <c:pt idx="868">
                  <c:v>#N/A</c:v>
                </c:pt>
                <c:pt idx="869">
                  <c:v>#N/A</c:v>
                </c:pt>
                <c:pt idx="870">
                  <c:v>#N/A</c:v>
                </c:pt>
                <c:pt idx="871">
                  <c:v>#N/A</c:v>
                </c:pt>
                <c:pt idx="872">
                  <c:v>#N/A</c:v>
                </c:pt>
                <c:pt idx="873">
                  <c:v>#N/A</c:v>
                </c:pt>
                <c:pt idx="874">
                  <c:v>#N/A</c:v>
                </c:pt>
                <c:pt idx="875">
                  <c:v>#N/A</c:v>
                </c:pt>
                <c:pt idx="876">
                  <c:v>#N/A</c:v>
                </c:pt>
                <c:pt idx="877">
                  <c:v>#N/A</c:v>
                </c:pt>
                <c:pt idx="878">
                  <c:v>#N/A</c:v>
                </c:pt>
                <c:pt idx="879">
                  <c:v>#N/A</c:v>
                </c:pt>
                <c:pt idx="880">
                  <c:v>#N/A</c:v>
                </c:pt>
                <c:pt idx="881">
                  <c:v>#N/A</c:v>
                </c:pt>
                <c:pt idx="882">
                  <c:v>#N/A</c:v>
                </c:pt>
                <c:pt idx="883">
                  <c:v>#N/A</c:v>
                </c:pt>
                <c:pt idx="884">
                  <c:v>#N/A</c:v>
                </c:pt>
                <c:pt idx="885">
                  <c:v>#N/A</c:v>
                </c:pt>
                <c:pt idx="886">
                  <c:v>#N/A</c:v>
                </c:pt>
                <c:pt idx="887">
                  <c:v>#N/A</c:v>
                </c:pt>
                <c:pt idx="888">
                  <c:v>#N/A</c:v>
                </c:pt>
                <c:pt idx="889">
                  <c:v>#N/A</c:v>
                </c:pt>
                <c:pt idx="890">
                  <c:v>#N/A</c:v>
                </c:pt>
                <c:pt idx="891">
                  <c:v>#N/A</c:v>
                </c:pt>
                <c:pt idx="892">
                  <c:v>#N/A</c:v>
                </c:pt>
                <c:pt idx="893">
                  <c:v>#N/A</c:v>
                </c:pt>
                <c:pt idx="894">
                  <c:v>#N/A</c:v>
                </c:pt>
                <c:pt idx="895">
                  <c:v>#N/A</c:v>
                </c:pt>
                <c:pt idx="896">
                  <c:v>#N/A</c:v>
                </c:pt>
                <c:pt idx="897">
                  <c:v>#N/A</c:v>
                </c:pt>
                <c:pt idx="898">
                  <c:v>#N/A</c:v>
                </c:pt>
                <c:pt idx="899">
                  <c:v>#N/A</c:v>
                </c:pt>
                <c:pt idx="900">
                  <c:v>#N/A</c:v>
                </c:pt>
                <c:pt idx="901">
                  <c:v>#N/A</c:v>
                </c:pt>
                <c:pt idx="902">
                  <c:v>#N/A</c:v>
                </c:pt>
                <c:pt idx="903">
                  <c:v>#N/A</c:v>
                </c:pt>
                <c:pt idx="904">
                  <c:v>#N/A</c:v>
                </c:pt>
                <c:pt idx="905">
                  <c:v>#N/A</c:v>
                </c:pt>
                <c:pt idx="906">
                  <c:v>#N/A</c:v>
                </c:pt>
                <c:pt idx="907">
                  <c:v>#N/A</c:v>
                </c:pt>
                <c:pt idx="908">
                  <c:v>#N/A</c:v>
                </c:pt>
                <c:pt idx="909">
                  <c:v>#N/A</c:v>
                </c:pt>
                <c:pt idx="910">
                  <c:v>#N/A</c:v>
                </c:pt>
                <c:pt idx="911">
                  <c:v>#N/A</c:v>
                </c:pt>
                <c:pt idx="912">
                  <c:v>#N/A</c:v>
                </c:pt>
                <c:pt idx="913">
                  <c:v>#N/A</c:v>
                </c:pt>
                <c:pt idx="914">
                  <c:v>#N/A</c:v>
                </c:pt>
                <c:pt idx="915">
                  <c:v>#N/A</c:v>
                </c:pt>
                <c:pt idx="916">
                  <c:v>#N/A</c:v>
                </c:pt>
                <c:pt idx="917">
                  <c:v>#N/A</c:v>
                </c:pt>
                <c:pt idx="918">
                  <c:v>#N/A</c:v>
                </c:pt>
                <c:pt idx="919">
                  <c:v>#N/A</c:v>
                </c:pt>
                <c:pt idx="920">
                  <c:v>#N/A</c:v>
                </c:pt>
                <c:pt idx="921">
                  <c:v>#N/A</c:v>
                </c:pt>
                <c:pt idx="922">
                  <c:v>#N/A</c:v>
                </c:pt>
                <c:pt idx="923">
                  <c:v>#N/A</c:v>
                </c:pt>
                <c:pt idx="924">
                  <c:v>#N/A</c:v>
                </c:pt>
                <c:pt idx="925">
                  <c:v>#N/A</c:v>
                </c:pt>
                <c:pt idx="926">
                  <c:v>#N/A</c:v>
                </c:pt>
                <c:pt idx="927">
                  <c:v>#N/A</c:v>
                </c:pt>
                <c:pt idx="928">
                  <c:v>#N/A</c:v>
                </c:pt>
                <c:pt idx="929">
                  <c:v>#N/A</c:v>
                </c:pt>
                <c:pt idx="930">
                  <c:v>#N/A</c:v>
                </c:pt>
                <c:pt idx="931">
                  <c:v>#N/A</c:v>
                </c:pt>
                <c:pt idx="932">
                  <c:v>#N/A</c:v>
                </c:pt>
                <c:pt idx="933">
                  <c:v>#N/A</c:v>
                </c:pt>
                <c:pt idx="934">
                  <c:v>#N/A</c:v>
                </c:pt>
                <c:pt idx="935">
                  <c:v>#N/A</c:v>
                </c:pt>
                <c:pt idx="936">
                  <c:v>#N/A</c:v>
                </c:pt>
                <c:pt idx="937">
                  <c:v>#N/A</c:v>
                </c:pt>
                <c:pt idx="938">
                  <c:v>#N/A</c:v>
                </c:pt>
                <c:pt idx="939">
                  <c:v>#N/A</c:v>
                </c:pt>
                <c:pt idx="940">
                  <c:v>#N/A</c:v>
                </c:pt>
                <c:pt idx="941">
                  <c:v>#N/A</c:v>
                </c:pt>
                <c:pt idx="942">
                  <c:v>#N/A</c:v>
                </c:pt>
                <c:pt idx="943">
                  <c:v>#N/A</c:v>
                </c:pt>
                <c:pt idx="944">
                  <c:v>#N/A</c:v>
                </c:pt>
                <c:pt idx="945">
                  <c:v>#N/A</c:v>
                </c:pt>
                <c:pt idx="946">
                  <c:v>#N/A</c:v>
                </c:pt>
                <c:pt idx="947">
                  <c:v>#N/A</c:v>
                </c:pt>
                <c:pt idx="948">
                  <c:v>#N/A</c:v>
                </c:pt>
                <c:pt idx="949">
                  <c:v>#N/A</c:v>
                </c:pt>
                <c:pt idx="950">
                  <c:v>#N/A</c:v>
                </c:pt>
                <c:pt idx="951">
                  <c:v>#N/A</c:v>
                </c:pt>
                <c:pt idx="952">
                  <c:v>#N/A</c:v>
                </c:pt>
                <c:pt idx="953">
                  <c:v>#N/A</c:v>
                </c:pt>
                <c:pt idx="954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3BB-83C8-41BD-8277-39864550E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010001"/>
        <c:axId val="50010002"/>
      </c:scatterChart>
      <c:valAx>
        <c:axId val="50010001"/>
        <c:scaling>
          <c:orientation val="minMax"/>
        </c:scaling>
        <c:delete val="0"/>
        <c:axPos val="b"/>
        <c:title>
          <c:tx>
            <c:strRef>
              <c:f>gráficos!$B$1</c:f>
              <c:strCache>
                <c:ptCount val="1"/>
              </c:strCache>
            </c:strRef>
          </c:tx>
          <c:overlay val="0"/>
          <c:txPr>
            <a:bodyPr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delete val="0"/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overlay val="0"/>
          <c:txPr>
            <a:bodyPr rot="-5400000" vert="horz"/>
            <a:lstStyle/>
            <a:p>
              <a:pPr>
                <a:defRPr/>
              </a:pPr>
              <a:endParaRPr lang="pt-BR"/>
            </a:p>
          </c:txPr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50800</xdr:colOff>
      <xdr:row>3</xdr:row>
      <xdr:rowOff>86360</xdr:rowOff>
    </xdr:from>
    <xdr:to>
      <xdr:col>10</xdr:col>
      <xdr:colOff>254000</xdr:colOff>
      <xdr:row>24</xdr:row>
      <xdr:rowOff>55880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CFA2AE7-FFAA-B7F3-717E-6D774B52D6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6BFE-C7F4-4F07-BF43-EF35500D9467}">
  <sheetPr codeName="Planilha33"/>
  <dimension ref="A1:M30"/>
  <sheetViews>
    <sheetView tabSelected="1" workbookViewId="0"/>
  </sheetViews>
  <sheetFormatPr defaultRowHeight="14.4" x14ac:dyDescent="0.3"/>
  <sheetData>
    <row r="1" spans="1:13" x14ac:dyDescent="0.3">
      <c r="B1" t="s">
        <v>33</v>
      </c>
      <c r="C1" t="s">
        <v>1</v>
      </c>
      <c r="D1" t="s">
        <v>34</v>
      </c>
      <c r="E1" t="s">
        <v>35</v>
      </c>
      <c r="F1" t="s">
        <v>5</v>
      </c>
      <c r="G1" t="s">
        <v>36</v>
      </c>
      <c r="H1" t="s">
        <v>37</v>
      </c>
      <c r="I1" t="s">
        <v>38</v>
      </c>
      <c r="J1" t="s">
        <v>39</v>
      </c>
    </row>
    <row r="2" spans="1:13" x14ac:dyDescent="0.3">
      <c r="A2" t="s">
        <v>40</v>
      </c>
      <c r="B2">
        <v>5.6848000000000001</v>
      </c>
      <c r="C2">
        <f>_xlfn.XLOOKUP(B2,RESULTADOS_0!D:D,RESULTADOS_0!B:B,0,0,1)</f>
        <v>10</v>
      </c>
      <c r="D2">
        <f>_xlfn.XLOOKUP(B2,RESULTADOS_0!D:D,RESULTADOS_0!L:L,0,0,1)</f>
        <v>1</v>
      </c>
      <c r="E2">
        <f>_xlfn.XLOOKUP(B2,RESULTADOS_0!D:D,RESULTADOS_0!I:I,0,0,1)</f>
        <v>100</v>
      </c>
      <c r="F2">
        <f>_xlfn.XLOOKUP(B2,RESULTADOS_0!D:D,RESULTADOS_0!F:F,0,0,1)</f>
        <v>14.83</v>
      </c>
      <c r="G2">
        <f>_xlfn.XLOOKUP(B2,RESULTADOS_0!D:D,RESULTADOS_0!M:M,0,0,1)</f>
        <v>0</v>
      </c>
      <c r="H2">
        <v>16</v>
      </c>
      <c r="I2">
        <v>0.90956800000000004</v>
      </c>
      <c r="J2">
        <v>10</v>
      </c>
      <c r="M2">
        <v>30</v>
      </c>
    </row>
    <row r="3" spans="1:13" x14ac:dyDescent="0.3">
      <c r="A3" t="s">
        <v>41</v>
      </c>
      <c r="B3">
        <v>6.0269000000000004</v>
      </c>
      <c r="C3">
        <f>_xlfn.XLOOKUP(B3,RESULTADOS_1!D:D,RESULTADOS_1!B:B,0,0,1)</f>
        <v>15</v>
      </c>
      <c r="D3">
        <f>_xlfn.XLOOKUP(B3,RESULTADOS_1!D:D,RESULTADOS_1!L:L,0,0,1)</f>
        <v>1</v>
      </c>
      <c r="E3">
        <f>_xlfn.XLOOKUP(B3,RESULTADOS_1!D:D,RESULTADOS_1!I:I,0,0,1)</f>
        <v>67</v>
      </c>
      <c r="F3">
        <f>_xlfn.XLOOKUP(B3,RESULTADOS_1!D:D,RESULTADOS_1!F:F,0,0,1)</f>
        <v>14.15</v>
      </c>
      <c r="G3">
        <f>_xlfn.XLOOKUP(B3,RESULTADOS_1!D:D,RESULTADOS_1!M:M,0,0,1)</f>
        <v>0</v>
      </c>
      <c r="I3">
        <v>0.96430400000000005</v>
      </c>
    </row>
    <row r="4" spans="1:13" x14ac:dyDescent="0.3">
      <c r="A4" t="s">
        <v>42</v>
      </c>
      <c r="B4">
        <v>6.1811999999999996</v>
      </c>
      <c r="C4">
        <f>_xlfn.XLOOKUP(B4,RESULTADOS_2!D:D,RESULTADOS_2!B:B,0,0,1)</f>
        <v>20</v>
      </c>
      <c r="D4">
        <f>_xlfn.XLOOKUP(B4,RESULTADOS_2!D:D,RESULTADOS_2!L:L,0,0,1)</f>
        <v>1.25</v>
      </c>
      <c r="E4">
        <f>_xlfn.XLOOKUP(B4,RESULTADOS_2!D:D,RESULTADOS_2!I:I,0,0,1)</f>
        <v>51</v>
      </c>
      <c r="F4">
        <f>_xlfn.XLOOKUP(B4,RESULTADOS_2!D:D,RESULTADOS_2!F:F,0,0,1)</f>
        <v>13.81</v>
      </c>
      <c r="G4">
        <f>_xlfn.XLOOKUP(B4,RESULTADOS_2!D:D,RESULTADOS_2!M:M,0,0,1)</f>
        <v>0</v>
      </c>
      <c r="I4">
        <v>0.98899199999999998</v>
      </c>
    </row>
    <row r="5" spans="1:13" x14ac:dyDescent="0.3">
      <c r="A5" t="s">
        <v>43</v>
      </c>
      <c r="B5">
        <v>6.2664999999999997</v>
      </c>
      <c r="C5">
        <f>_xlfn.XLOOKUP(B5,RESULTADOS_3!D:D,RESULTADOS_3!B:B,0,0,1)</f>
        <v>25</v>
      </c>
      <c r="D5">
        <f>_xlfn.XLOOKUP(B5,RESULTADOS_3!D:D,RESULTADOS_3!L:L,0,0,1)</f>
        <v>1.5</v>
      </c>
      <c r="E5">
        <f>_xlfn.XLOOKUP(B5,RESULTADOS_3!D:D,RESULTADOS_3!I:I,0,0,1)</f>
        <v>41</v>
      </c>
      <c r="F5">
        <f>_xlfn.XLOOKUP(B5,RESULTADOS_3!D:D,RESULTADOS_3!F:F,0,0,1)</f>
        <v>13.59</v>
      </c>
      <c r="G5">
        <f>_xlfn.XLOOKUP(B5,RESULTADOS_3!D:D,RESULTADOS_3!M:M,0,0,1)</f>
        <v>4</v>
      </c>
      <c r="I5">
        <v>1.00264</v>
      </c>
    </row>
    <row r="6" spans="1:13" x14ac:dyDescent="0.3">
      <c r="A6" t="s">
        <v>44</v>
      </c>
      <c r="B6">
        <v>6.3228</v>
      </c>
      <c r="C6">
        <f>_xlfn.XLOOKUP(B6,RESULTADOS_4!D:D,RESULTADOS_4!B:B,0,0,1)</f>
        <v>30</v>
      </c>
      <c r="D6">
        <f>_xlfn.XLOOKUP(B6,RESULTADOS_4!D:D,RESULTADOS_4!L:L,0,0,1)</f>
        <v>2.25</v>
      </c>
      <c r="E6">
        <f>_xlfn.XLOOKUP(B6,RESULTADOS_4!D:D,RESULTADOS_4!I:I,0,0,1)</f>
        <v>34</v>
      </c>
      <c r="F6">
        <f>_xlfn.XLOOKUP(B6,RESULTADOS_4!D:D,RESULTADOS_4!F:F,0,0,1)</f>
        <v>13.44</v>
      </c>
      <c r="G6">
        <f>_xlfn.XLOOKUP(B6,RESULTADOS_4!D:D,RESULTADOS_4!M:M,0,0,1)</f>
        <v>0</v>
      </c>
      <c r="I6">
        <v>1.0116480000000001</v>
      </c>
    </row>
    <row r="7" spans="1:13" x14ac:dyDescent="0.3">
      <c r="A7" t="s">
        <v>45</v>
      </c>
      <c r="B7">
        <v>6.3404999999999996</v>
      </c>
      <c r="C7">
        <f>_xlfn.XLOOKUP(B7,RESULTADOS_5!D:D,RESULTADOS_5!B:B,0,0,1)</f>
        <v>35</v>
      </c>
      <c r="D7">
        <f>_xlfn.XLOOKUP(B7,RESULTADOS_5!D:D,RESULTADOS_5!L:L,0,0,1)</f>
        <v>2.25</v>
      </c>
      <c r="E7">
        <f>_xlfn.XLOOKUP(B7,RESULTADOS_5!D:D,RESULTADOS_5!I:I,0,0,1)</f>
        <v>30</v>
      </c>
      <c r="F7">
        <f>_xlfn.XLOOKUP(B7,RESULTADOS_5!D:D,RESULTADOS_5!F:F,0,0,1)</f>
        <v>13.36</v>
      </c>
      <c r="G7">
        <f>_xlfn.XLOOKUP(B7,RESULTADOS_5!D:D,RESULTADOS_5!M:M,0,0,1)</f>
        <v>8</v>
      </c>
      <c r="I7">
        <v>1.0144799999999998</v>
      </c>
    </row>
    <row r="8" spans="1:13" x14ac:dyDescent="0.3">
      <c r="A8" t="s">
        <v>46</v>
      </c>
      <c r="B8">
        <v>6.3650000000000002</v>
      </c>
      <c r="C8">
        <f>_xlfn.XLOOKUP(B8,RESULTADOS_6!D:D,RESULTADOS_6!B:B,0,0,1)</f>
        <v>40</v>
      </c>
      <c r="D8">
        <f>_xlfn.XLOOKUP(B8,RESULTADOS_6!D:D,RESULTADOS_6!L:L,0,0,1)</f>
        <v>2.75</v>
      </c>
      <c r="E8">
        <f>_xlfn.XLOOKUP(B8,RESULTADOS_6!D:D,RESULTADOS_6!I:I,0,0,1)</f>
        <v>26</v>
      </c>
      <c r="F8">
        <f>_xlfn.XLOOKUP(B8,RESULTADOS_6!D:D,RESULTADOS_6!F:F,0,0,1)</f>
        <v>13.28</v>
      </c>
      <c r="G8">
        <f>_xlfn.XLOOKUP(B8,RESULTADOS_6!D:D,RESULTADOS_6!M:M,0,0,1)</f>
        <v>3</v>
      </c>
      <c r="I8">
        <v>1.0184</v>
      </c>
    </row>
    <row r="9" spans="1:13" x14ac:dyDescent="0.3">
      <c r="A9" t="s">
        <v>47</v>
      </c>
      <c r="B9">
        <v>6.3815</v>
      </c>
      <c r="C9">
        <f>_xlfn.XLOOKUP(B9,RESULTADOS_7!D:D,RESULTADOS_7!B:B,0,0,1)</f>
        <v>45</v>
      </c>
      <c r="D9">
        <f>_xlfn.XLOOKUP(B9,RESULTADOS_7!D:D,RESULTADOS_7!L:L,0,0,1)</f>
        <v>3.5</v>
      </c>
      <c r="E9">
        <f>_xlfn.XLOOKUP(B9,RESULTADOS_7!D:D,RESULTADOS_7!I:I,0,0,1)</f>
        <v>23</v>
      </c>
      <c r="F9">
        <f>_xlfn.XLOOKUP(B9,RESULTADOS_7!D:D,RESULTADOS_7!F:F,0,0,1)</f>
        <v>13.21</v>
      </c>
      <c r="G9">
        <f>_xlfn.XLOOKUP(B9,RESULTADOS_7!D:D,RESULTADOS_7!M:M,0,0,1)</f>
        <v>1</v>
      </c>
      <c r="I9">
        <v>1.0210399999999999</v>
      </c>
    </row>
    <row r="10" spans="1:13" x14ac:dyDescent="0.3">
      <c r="A10" t="s">
        <v>48</v>
      </c>
      <c r="B10">
        <v>6.3808999999999996</v>
      </c>
      <c r="C10">
        <f>_xlfn.XLOOKUP(B10,RESULTADOS_8!D:D,RESULTADOS_8!B:B,0,0,1)</f>
        <v>50</v>
      </c>
      <c r="D10">
        <f>_xlfn.XLOOKUP(B10,RESULTADOS_8!D:D,RESULTADOS_8!L:L,0,0,1)</f>
        <v>4</v>
      </c>
      <c r="E10">
        <f>_xlfn.XLOOKUP(B10,RESULTADOS_8!D:D,RESULTADOS_8!I:I,0,0,1)</f>
        <v>21</v>
      </c>
      <c r="F10">
        <f>_xlfn.XLOOKUP(B10,RESULTADOS_8!D:D,RESULTADOS_8!F:F,0,0,1)</f>
        <v>13.17</v>
      </c>
      <c r="G10">
        <f>_xlfn.XLOOKUP(B10,RESULTADOS_8!D:D,RESULTADOS_8!M:M,0,0,1)</f>
        <v>1</v>
      </c>
      <c r="I10">
        <v>1.0209439999999999</v>
      </c>
    </row>
    <row r="11" spans="1:13" x14ac:dyDescent="0.3">
      <c r="A11" t="s">
        <v>49</v>
      </c>
      <c r="B11">
        <v>6.3864999999999998</v>
      </c>
      <c r="C11">
        <f>_xlfn.XLOOKUP(B11,RESULTADOS_9!D:D,RESULTADOS_9!B:B,0,0,1)</f>
        <v>55</v>
      </c>
      <c r="D11">
        <f>_xlfn.XLOOKUP(B11,RESULTADOS_9!D:D,RESULTADOS_9!L:L,0,0,1)</f>
        <v>4.5</v>
      </c>
      <c r="E11">
        <f>_xlfn.XLOOKUP(B11,RESULTADOS_9!D:D,RESULTADOS_9!I:I,0,0,1)</f>
        <v>19</v>
      </c>
      <c r="F11">
        <f>_xlfn.XLOOKUP(B11,RESULTADOS_9!D:D,RESULTADOS_9!F:F,0,0,1)</f>
        <v>13.12</v>
      </c>
      <c r="G11">
        <f>_xlfn.XLOOKUP(B11,RESULTADOS_9!D:D,RESULTADOS_9!M:M,0,0,1)</f>
        <v>1</v>
      </c>
      <c r="I11">
        <v>1.0218400000000001</v>
      </c>
    </row>
    <row r="12" spans="1:13" x14ac:dyDescent="0.3">
      <c r="A12" t="s">
        <v>50</v>
      </c>
      <c r="B12">
        <v>6.3708</v>
      </c>
      <c r="C12">
        <f>_xlfn.XLOOKUP(B12,RESULTADOS_10!D:D,RESULTADOS_10!B:B,0,0,1)</f>
        <v>60</v>
      </c>
      <c r="D12">
        <f>_xlfn.XLOOKUP(B12,RESULTADOS_10!D:D,RESULTADOS_10!L:L,0,0,1)</f>
        <v>5.25</v>
      </c>
      <c r="E12">
        <f>_xlfn.XLOOKUP(B12,RESULTADOS_10!D:D,RESULTADOS_10!I:I,0,0,1)</f>
        <v>18</v>
      </c>
      <c r="F12">
        <f>_xlfn.XLOOKUP(B12,RESULTADOS_10!D:D,RESULTADOS_10!F:F,0,0,1)</f>
        <v>13.1</v>
      </c>
      <c r="G12">
        <f>_xlfn.XLOOKUP(B12,RESULTADOS_10!D:D,RESULTADOS_10!M:M,0,0,1)</f>
        <v>1</v>
      </c>
      <c r="I12">
        <v>1.019328</v>
      </c>
    </row>
    <row r="13" spans="1:13" x14ac:dyDescent="0.3">
      <c r="A13" t="s">
        <v>51</v>
      </c>
      <c r="B13">
        <v>6.3586</v>
      </c>
      <c r="C13">
        <f>_xlfn.XLOOKUP(B13,RESULTADOS_11!D:D,RESULTADOS_11!B:B,0,0,1)</f>
        <v>65</v>
      </c>
      <c r="D13">
        <f>_xlfn.XLOOKUP(B13,RESULTADOS_11!D:D,RESULTADOS_11!L:L,0,0,1)</f>
        <v>5.25</v>
      </c>
      <c r="E13">
        <f>_xlfn.XLOOKUP(B13,RESULTADOS_11!D:D,RESULTADOS_11!I:I,0,0,1)</f>
        <v>17</v>
      </c>
      <c r="F13">
        <f>_xlfn.XLOOKUP(B13,RESULTADOS_11!D:D,RESULTADOS_11!F:F,0,0,1)</f>
        <v>13.08</v>
      </c>
      <c r="G13">
        <f>_xlfn.XLOOKUP(B13,RESULTADOS_11!D:D,RESULTADOS_11!M:M,0,0,1)</f>
        <v>5</v>
      </c>
      <c r="I13">
        <v>1.0173760000000001</v>
      </c>
    </row>
    <row r="14" spans="1:13" x14ac:dyDescent="0.3">
      <c r="A14" t="s">
        <v>52</v>
      </c>
      <c r="B14">
        <v>6.3489000000000004</v>
      </c>
      <c r="C14">
        <f>_xlfn.XLOOKUP(B14,RESULTADOS_12!D:D,RESULTADOS_12!B:B,0,0,1)</f>
        <v>70</v>
      </c>
      <c r="D14">
        <f>_xlfn.XLOOKUP(B14,RESULTADOS_12!D:D,RESULTADOS_12!L:L,0,0,1)</f>
        <v>5.75</v>
      </c>
      <c r="E14">
        <f>_xlfn.XLOOKUP(B14,RESULTADOS_12!D:D,RESULTADOS_12!I:I,0,0,1)</f>
        <v>16</v>
      </c>
      <c r="F14">
        <f>_xlfn.XLOOKUP(B14,RESULTADOS_12!D:D,RESULTADOS_12!F:F,0,0,1)</f>
        <v>13.06</v>
      </c>
      <c r="G14">
        <f>_xlfn.XLOOKUP(B14,RESULTADOS_12!D:D,RESULTADOS_12!M:M,0,0,1)</f>
        <v>8</v>
      </c>
      <c r="I14">
        <v>1.0158240000000001</v>
      </c>
    </row>
    <row r="15" spans="1:13" x14ac:dyDescent="0.3">
      <c r="A15" t="s">
        <v>53</v>
      </c>
      <c r="B15">
        <v>6.3406000000000002</v>
      </c>
      <c r="C15">
        <f>_xlfn.XLOOKUP(B15,RESULTADOS_13!D:D,RESULTADOS_13!B:B,0,0,1)</f>
        <v>75</v>
      </c>
      <c r="D15">
        <f>_xlfn.XLOOKUP(B15,RESULTADOS_13!D:D,RESULTADOS_13!L:L,0,0,1)</f>
        <v>7.25</v>
      </c>
      <c r="E15">
        <f>_xlfn.XLOOKUP(B15,RESULTADOS_13!D:D,RESULTADOS_13!I:I,0,0,1)</f>
        <v>15</v>
      </c>
      <c r="F15">
        <f>_xlfn.XLOOKUP(B15,RESULTADOS_13!D:D,RESULTADOS_13!F:F,0,0,1)</f>
        <v>13.04</v>
      </c>
      <c r="G15">
        <f>_xlfn.XLOOKUP(B15,RESULTADOS_13!D:D,RESULTADOS_13!M:M,0,0,1)</f>
        <v>1</v>
      </c>
      <c r="I15">
        <v>1.0144960000000001</v>
      </c>
    </row>
    <row r="16" spans="1:13" x14ac:dyDescent="0.3">
      <c r="A16" t="s">
        <v>54</v>
      </c>
      <c r="B16">
        <v>6.3284000000000002</v>
      </c>
      <c r="C16">
        <f>_xlfn.XLOOKUP(B16,RESULTADOS_14!D:D,RESULTADOS_14!B:B,0,0,1)</f>
        <v>80</v>
      </c>
      <c r="D16">
        <f>_xlfn.XLOOKUP(B16,RESULTADOS_14!D:D,RESULTADOS_14!L:L,0,0,1)</f>
        <v>7.75</v>
      </c>
      <c r="E16">
        <f>_xlfn.XLOOKUP(B16,RESULTADOS_14!D:D,RESULTADOS_14!I:I,0,0,1)</f>
        <v>14</v>
      </c>
      <c r="F16">
        <f>_xlfn.XLOOKUP(B16,RESULTADOS_14!D:D,RESULTADOS_14!F:F,0,0,1)</f>
        <v>13.03</v>
      </c>
      <c r="G16">
        <f>_xlfn.XLOOKUP(B16,RESULTADOS_14!D:D,RESULTADOS_14!M:M,0,0,1)</f>
        <v>1</v>
      </c>
      <c r="I16">
        <v>1.0125440000000001</v>
      </c>
    </row>
    <row r="17" spans="1:9" x14ac:dyDescent="0.3">
      <c r="A17" t="s">
        <v>55</v>
      </c>
      <c r="B17">
        <v>6.3247999999999998</v>
      </c>
      <c r="C17">
        <f>_xlfn.XLOOKUP(B17,RESULTADOS_15!D:D,RESULTADOS_15!B:B,0,0,1)</f>
        <v>85</v>
      </c>
      <c r="D17">
        <f>_xlfn.XLOOKUP(B17,RESULTADOS_15!D:D,RESULTADOS_15!L:L,0,0,1)</f>
        <v>8</v>
      </c>
      <c r="E17">
        <f>_xlfn.XLOOKUP(B17,RESULTADOS_15!D:D,RESULTADOS_15!I:I,0,0,1)</f>
        <v>13</v>
      </c>
      <c r="F17">
        <f>_xlfn.XLOOKUP(B17,RESULTADOS_15!D:D,RESULTADOS_15!F:F,0,0,1)</f>
        <v>13</v>
      </c>
      <c r="G17">
        <f>_xlfn.XLOOKUP(B17,RESULTADOS_15!D:D,RESULTADOS_15!M:M,0,0,1)</f>
        <v>3</v>
      </c>
      <c r="I17">
        <v>1.011968</v>
      </c>
    </row>
    <row r="18" spans="1:9" x14ac:dyDescent="0.3">
      <c r="A18" t="s">
        <v>56</v>
      </c>
      <c r="B18">
        <v>6.3197000000000001</v>
      </c>
      <c r="C18">
        <f>_xlfn.XLOOKUP(B18,RESULTADOS_16!D:D,RESULTADOS_16!B:B,0,0,1)</f>
        <v>90</v>
      </c>
      <c r="D18">
        <f>_xlfn.XLOOKUP(B18,RESULTADOS_16!D:D,RESULTADOS_16!L:L,0,0,1)</f>
        <v>9.5</v>
      </c>
      <c r="E18">
        <f>_xlfn.XLOOKUP(B18,RESULTADOS_16!D:D,RESULTADOS_16!I:I,0,0,1)</f>
        <v>12</v>
      </c>
      <c r="F18">
        <f>_xlfn.XLOOKUP(B18,RESULTADOS_16!D:D,RESULTADOS_16!F:F,0,0,1)</f>
        <v>12.98</v>
      </c>
      <c r="G18">
        <f>_xlfn.XLOOKUP(B18,RESULTADOS_16!D:D,RESULTADOS_16!M:M,0,0,1)</f>
        <v>0</v>
      </c>
      <c r="I18">
        <v>1.0111520000000001</v>
      </c>
    </row>
    <row r="19" spans="1:9" x14ac:dyDescent="0.3">
      <c r="A19" t="s">
        <v>57</v>
      </c>
      <c r="B19">
        <v>6.2953999999999999</v>
      </c>
      <c r="C19">
        <f>_xlfn.XLOOKUP(B19,RESULTADOS_17!D:D,RESULTADOS_17!B:B,0,0,1)</f>
        <v>95</v>
      </c>
      <c r="D19">
        <f>_xlfn.XLOOKUP(B19,RESULTADOS_17!D:D,RESULTADOS_17!L:L,0,0,1)</f>
        <v>9.25</v>
      </c>
      <c r="E19">
        <f>_xlfn.XLOOKUP(B19,RESULTADOS_17!D:D,RESULTADOS_17!I:I,0,0,1)</f>
        <v>12</v>
      </c>
      <c r="F19">
        <f>_xlfn.XLOOKUP(B19,RESULTADOS_17!D:D,RESULTADOS_17!F:F,0,0,1)</f>
        <v>12.97</v>
      </c>
      <c r="G19">
        <f>_xlfn.XLOOKUP(B19,RESULTADOS_17!D:D,RESULTADOS_17!M:M,0,0,1)</f>
        <v>4</v>
      </c>
      <c r="I19">
        <v>1.0072639999999999</v>
      </c>
    </row>
    <row r="20" spans="1:9" x14ac:dyDescent="0.3">
      <c r="A20" t="s">
        <v>58</v>
      </c>
      <c r="B20">
        <v>6.2899000000000003</v>
      </c>
      <c r="C20">
        <f>_xlfn.XLOOKUP(B20,RESULTADOS_18!D:D,RESULTADOS_18!B:B,0,0,1)</f>
        <v>100</v>
      </c>
      <c r="D20">
        <f>_xlfn.XLOOKUP(B20,RESULTADOS_18!D:D,RESULTADOS_18!L:L,0,0,1)</f>
        <v>10.75</v>
      </c>
      <c r="E20">
        <f>_xlfn.XLOOKUP(B20,RESULTADOS_18!D:D,RESULTADOS_18!I:I,0,0,1)</f>
        <v>11</v>
      </c>
      <c r="F20">
        <f>_xlfn.XLOOKUP(B20,RESULTADOS_18!D:D,RESULTADOS_18!F:F,0,0,1)</f>
        <v>12.95</v>
      </c>
      <c r="G20">
        <f>_xlfn.XLOOKUP(B20,RESULTADOS_18!D:D,RESULTADOS_18!M:M,0,0,1)</f>
        <v>0</v>
      </c>
      <c r="I20">
        <v>1.0063839999999999</v>
      </c>
    </row>
    <row r="21" spans="1:9" x14ac:dyDescent="0.3">
      <c r="A21" t="s">
        <v>59</v>
      </c>
      <c r="B21">
        <v>6.2607999999999997</v>
      </c>
      <c r="C21">
        <f>_xlfn.XLOOKUP(B21,RESULTADOS_19!D:D,RESULTADOS_19!B:B,0,0,1)</f>
        <v>105</v>
      </c>
      <c r="D21">
        <f>_xlfn.XLOOKUP(B21,RESULTADOS_19!D:D,RESULTADOS_19!L:L,0,0,1)</f>
        <v>10.75</v>
      </c>
      <c r="E21">
        <f>_xlfn.XLOOKUP(B21,RESULTADOS_19!D:D,RESULTADOS_19!I:I,0,0,1)</f>
        <v>11</v>
      </c>
      <c r="F21">
        <f>_xlfn.XLOOKUP(B21,RESULTADOS_19!D:D,RESULTADOS_19!F:F,0,0,1)</f>
        <v>12.96</v>
      </c>
      <c r="G21">
        <f>_xlfn.XLOOKUP(B21,RESULTADOS_19!D:D,RESULTADOS_19!M:M,0,0,1)</f>
        <v>5</v>
      </c>
      <c r="I21">
        <v>1.001728</v>
      </c>
    </row>
    <row r="22" spans="1:9" x14ac:dyDescent="0.3">
      <c r="A22" t="s">
        <v>60</v>
      </c>
      <c r="B22">
        <v>6.2622999999999998</v>
      </c>
      <c r="C22">
        <f>_xlfn.XLOOKUP(B22,RESULTADOS_20!D:D,RESULTADOS_20!B:B,0,0,1)</f>
        <v>110</v>
      </c>
      <c r="D22">
        <f>_xlfn.XLOOKUP(B22,RESULTADOS_20!D:D,RESULTADOS_20!L:L,0,0,1)</f>
        <v>12.75</v>
      </c>
      <c r="E22">
        <f>_xlfn.XLOOKUP(B22,RESULTADOS_20!D:D,RESULTADOS_20!I:I,0,0,1)</f>
        <v>10</v>
      </c>
      <c r="F22">
        <f>_xlfn.XLOOKUP(B22,RESULTADOS_20!D:D,RESULTADOS_20!F:F,0,0,1)</f>
        <v>12.93</v>
      </c>
      <c r="G22">
        <f>_xlfn.XLOOKUP(B22,RESULTADOS_20!D:D,RESULTADOS_20!M:M,0,0,1)</f>
        <v>0</v>
      </c>
      <c r="I22">
        <v>1.001968</v>
      </c>
    </row>
    <row r="23" spans="1:9" x14ac:dyDescent="0.3">
      <c r="A23" t="s">
        <v>61</v>
      </c>
      <c r="B23">
        <v>6.2397</v>
      </c>
      <c r="C23">
        <f>_xlfn.XLOOKUP(B23,RESULTADOS_21!D:D,RESULTADOS_21!B:B,0,0,1)</f>
        <v>115</v>
      </c>
      <c r="D23">
        <f>_xlfn.XLOOKUP(B23,RESULTADOS_21!D:D,RESULTADOS_21!L:L,0,0,1)</f>
        <v>12.5</v>
      </c>
      <c r="E23">
        <f>_xlfn.XLOOKUP(B23,RESULTADOS_21!D:D,RESULTADOS_21!I:I,0,0,1)</f>
        <v>10</v>
      </c>
      <c r="F23">
        <f>_xlfn.XLOOKUP(B23,RESULTADOS_21!D:D,RESULTADOS_21!F:F,0,0,1)</f>
        <v>12.93</v>
      </c>
      <c r="G23">
        <f>_xlfn.XLOOKUP(B23,RESULTADOS_21!D:D,RESULTADOS_21!M:M,0,0,1)</f>
        <v>5</v>
      </c>
      <c r="I23">
        <v>0.99835200000000002</v>
      </c>
    </row>
    <row r="24" spans="1:9" x14ac:dyDescent="0.3">
      <c r="A24" t="s">
        <v>62</v>
      </c>
      <c r="B24">
        <v>6.2150999999999996</v>
      </c>
      <c r="C24">
        <f>_xlfn.XLOOKUP(B24,RESULTADOS_22!D:D,RESULTADOS_22!B:B,0,0,1)</f>
        <v>120</v>
      </c>
      <c r="D24">
        <f>_xlfn.XLOOKUP(B24,RESULTADOS_22!D:D,RESULTADOS_22!L:L,0,0,1)</f>
        <v>13</v>
      </c>
      <c r="E24">
        <f>_xlfn.XLOOKUP(B24,RESULTADOS_22!D:D,RESULTADOS_22!I:I,0,0,1)</f>
        <v>10</v>
      </c>
      <c r="F24">
        <f>_xlfn.XLOOKUP(B24,RESULTADOS_22!D:D,RESULTADOS_22!F:F,0,0,1)</f>
        <v>12.93</v>
      </c>
      <c r="G24">
        <f>_xlfn.XLOOKUP(B24,RESULTADOS_22!D:D,RESULTADOS_22!M:M,0,0,1)</f>
        <v>6</v>
      </c>
      <c r="I24">
        <v>0.99441599999999997</v>
      </c>
    </row>
    <row r="25" spans="1:9" x14ac:dyDescent="0.3">
      <c r="A25" t="s">
        <v>63</v>
      </c>
      <c r="B25">
        <v>6.2130000000000001</v>
      </c>
      <c r="C25">
        <f>_xlfn.XLOOKUP(B25,RESULTADOS_23!D:D,RESULTADOS_23!B:B,0,0,1)</f>
        <v>125</v>
      </c>
      <c r="D25">
        <f>_xlfn.XLOOKUP(B25,RESULTADOS_23!D:D,RESULTADOS_23!L:L,0,0,1)</f>
        <v>15</v>
      </c>
      <c r="E25">
        <f>_xlfn.XLOOKUP(B25,RESULTADOS_23!D:D,RESULTADOS_23!I:I,0,0,1)</f>
        <v>9</v>
      </c>
      <c r="F25">
        <f>_xlfn.XLOOKUP(B25,RESULTADOS_23!D:D,RESULTADOS_23!F:F,0,0,1)</f>
        <v>12.91</v>
      </c>
      <c r="G25">
        <f>_xlfn.XLOOKUP(B25,RESULTADOS_23!D:D,RESULTADOS_23!M:M,0,0,1)</f>
        <v>1</v>
      </c>
      <c r="I25">
        <v>0.99407999999999996</v>
      </c>
    </row>
    <row r="26" spans="1:9" x14ac:dyDescent="0.3">
      <c r="A26" t="s">
        <v>64</v>
      </c>
      <c r="B26">
        <v>6.1874000000000002</v>
      </c>
      <c r="C26">
        <f>_xlfn.XLOOKUP(B26,RESULTADOS_24!D:D,RESULTADOS_24!B:B,0,0,1)</f>
        <v>130</v>
      </c>
      <c r="D26">
        <f>_xlfn.XLOOKUP(B26,RESULTADOS_24!D:D,RESULTADOS_24!L:L,0,0,1)</f>
        <v>15.75</v>
      </c>
      <c r="E26">
        <f>_xlfn.XLOOKUP(B26,RESULTADOS_24!D:D,RESULTADOS_24!I:I,0,0,1)</f>
        <v>9</v>
      </c>
      <c r="F26">
        <f>_xlfn.XLOOKUP(B26,RESULTADOS_24!D:D,RESULTADOS_24!F:F,0,0,1)</f>
        <v>12.92</v>
      </c>
      <c r="G26">
        <f>_xlfn.XLOOKUP(B26,RESULTADOS_24!D:D,RESULTADOS_24!M:M,0,0,1)</f>
        <v>3</v>
      </c>
      <c r="I26">
        <v>0.98998400000000009</v>
      </c>
    </row>
    <row r="27" spans="1:9" x14ac:dyDescent="0.3">
      <c r="A27" t="s">
        <v>65</v>
      </c>
      <c r="B27">
        <v>6.1649000000000003</v>
      </c>
      <c r="C27">
        <f>_xlfn.XLOOKUP(B27,RESULTADOS_25!D:D,RESULTADOS_25!B:B,0,0,1)</f>
        <v>135</v>
      </c>
      <c r="D27">
        <f>_xlfn.XLOOKUP(B27,RESULTADOS_25!D:D,RESULTADOS_25!L:L,0,0,1)</f>
        <v>17.25</v>
      </c>
      <c r="E27">
        <f>_xlfn.XLOOKUP(B27,RESULTADOS_25!D:D,RESULTADOS_25!I:I,0,0,1)</f>
        <v>9</v>
      </c>
      <c r="F27">
        <f>_xlfn.XLOOKUP(B27,RESULTADOS_25!D:D,RESULTADOS_25!F:F,0,0,1)</f>
        <v>12.91</v>
      </c>
      <c r="G27">
        <f>_xlfn.XLOOKUP(B27,RESULTADOS_25!D:D,RESULTADOS_25!M:M,0,0,1)</f>
        <v>1</v>
      </c>
      <c r="I27">
        <v>0.98638400000000004</v>
      </c>
    </row>
    <row r="28" spans="1:9" x14ac:dyDescent="0.3">
      <c r="A28" t="s">
        <v>66</v>
      </c>
      <c r="B28">
        <v>6.1420000000000003</v>
      </c>
      <c r="C28">
        <f>_xlfn.XLOOKUP(B28,RESULTADOS_26!D:D,RESULTADOS_26!B:B,0,0,1)</f>
        <v>140</v>
      </c>
      <c r="D28">
        <f>_xlfn.XLOOKUP(B28,RESULTADOS_26!D:D,RESULTADOS_26!L:L,0,0,1)</f>
        <v>17.5</v>
      </c>
      <c r="E28">
        <f>_xlfn.XLOOKUP(B28,RESULTADOS_26!D:D,RESULTADOS_26!I:I,0,0,1)</f>
        <v>9</v>
      </c>
      <c r="F28">
        <f>_xlfn.XLOOKUP(B28,RESULTADOS_26!D:D,RESULTADOS_26!F:F,0,0,1)</f>
        <v>12.91</v>
      </c>
      <c r="G28">
        <f>_xlfn.XLOOKUP(B28,RESULTADOS_26!D:D,RESULTADOS_26!M:M,0,0,1)</f>
        <v>5</v>
      </c>
      <c r="I28">
        <v>0.98272000000000004</v>
      </c>
    </row>
    <row r="29" spans="1:9" x14ac:dyDescent="0.3">
      <c r="A29" t="s">
        <v>67</v>
      </c>
      <c r="B29">
        <v>6.1441999999999997</v>
      </c>
      <c r="C29">
        <f>_xlfn.XLOOKUP(B29,RESULTADOS_27!D:D,RESULTADOS_27!B:B,0,0,1)</f>
        <v>145</v>
      </c>
      <c r="D29">
        <f>_xlfn.XLOOKUP(B29,RESULTADOS_27!D:D,RESULTADOS_27!L:L,0,0,1)</f>
        <v>19.5</v>
      </c>
      <c r="E29">
        <f>_xlfn.XLOOKUP(B29,RESULTADOS_27!D:D,RESULTADOS_27!I:I,0,0,1)</f>
        <v>8</v>
      </c>
      <c r="F29">
        <f>_xlfn.XLOOKUP(B29,RESULTADOS_27!D:D,RESULTADOS_27!F:F,0,0,1)</f>
        <v>12.9</v>
      </c>
      <c r="G29">
        <f>_xlfn.XLOOKUP(B29,RESULTADOS_27!D:D,RESULTADOS_27!M:M,0,0,1)</f>
        <v>2</v>
      </c>
      <c r="I29">
        <v>0.98307199999999995</v>
      </c>
    </row>
    <row r="30" spans="1:9" x14ac:dyDescent="0.3">
      <c r="A30" t="s">
        <v>68</v>
      </c>
      <c r="B30">
        <v>6.1230000000000002</v>
      </c>
      <c r="C30">
        <f>_xlfn.XLOOKUP(B30,RESULTADOS_28!D:D,RESULTADOS_28!B:B,0,0,1)</f>
        <v>150</v>
      </c>
      <c r="D30">
        <f>_xlfn.XLOOKUP(B30,RESULTADOS_28!D:D,RESULTADOS_28!L:L,0,0,1)</f>
        <v>20.25</v>
      </c>
      <c r="E30">
        <f>_xlfn.XLOOKUP(B30,RESULTADOS_28!D:D,RESULTADOS_28!I:I,0,0,1)</f>
        <v>8</v>
      </c>
      <c r="F30">
        <f>_xlfn.XLOOKUP(B30,RESULTADOS_28!D:D,RESULTADOS_28!F:F,0,0,1)</f>
        <v>12.89</v>
      </c>
      <c r="G30">
        <f>_xlfn.XLOOKUP(B30,RESULTADOS_28!D:D,RESULTADOS_28!M:M,0,0,1)</f>
        <v>3</v>
      </c>
      <c r="I30">
        <v>0.97968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Z4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4.0411000000000001</v>
      </c>
      <c r="E2">
        <v>24.75</v>
      </c>
      <c r="F2">
        <v>16.010000000000002</v>
      </c>
      <c r="G2">
        <v>6</v>
      </c>
      <c r="H2">
        <v>0.09</v>
      </c>
      <c r="I2">
        <v>160</v>
      </c>
      <c r="J2">
        <v>194.77</v>
      </c>
      <c r="K2">
        <v>54.38</v>
      </c>
      <c r="L2">
        <v>1</v>
      </c>
      <c r="M2">
        <v>158</v>
      </c>
      <c r="N2">
        <v>39.4</v>
      </c>
      <c r="O2">
        <v>24256.19</v>
      </c>
      <c r="P2">
        <v>222.11</v>
      </c>
      <c r="Q2">
        <v>988.32</v>
      </c>
      <c r="R2">
        <v>138.75</v>
      </c>
      <c r="S2">
        <v>35.43</v>
      </c>
      <c r="T2">
        <v>49885.46</v>
      </c>
      <c r="U2">
        <v>0.26</v>
      </c>
      <c r="V2">
        <v>0.71</v>
      </c>
      <c r="W2">
        <v>3.23</v>
      </c>
      <c r="X2">
        <v>3.25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4.4471999999999996</v>
      </c>
      <c r="E3">
        <v>22.49</v>
      </c>
      <c r="F3">
        <v>15.22</v>
      </c>
      <c r="G3">
        <v>7.49</v>
      </c>
      <c r="H3">
        <v>0.11</v>
      </c>
      <c r="I3">
        <v>122</v>
      </c>
      <c r="J3">
        <v>195.16</v>
      </c>
      <c r="K3">
        <v>54.38</v>
      </c>
      <c r="L3">
        <v>1.25</v>
      </c>
      <c r="M3">
        <v>120</v>
      </c>
      <c r="N3">
        <v>39.53</v>
      </c>
      <c r="O3">
        <v>24303.87</v>
      </c>
      <c r="P3">
        <v>210.31</v>
      </c>
      <c r="Q3">
        <v>988.45</v>
      </c>
      <c r="R3">
        <v>114.47</v>
      </c>
      <c r="S3">
        <v>35.43</v>
      </c>
      <c r="T3">
        <v>37935.43</v>
      </c>
      <c r="U3">
        <v>0.31</v>
      </c>
      <c r="V3">
        <v>0.75</v>
      </c>
      <c r="W3">
        <v>3.17</v>
      </c>
      <c r="X3">
        <v>2.4700000000000002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4.7504</v>
      </c>
      <c r="E4">
        <v>21.05</v>
      </c>
      <c r="F4">
        <v>14.72</v>
      </c>
      <c r="G4">
        <v>9.01</v>
      </c>
      <c r="H4">
        <v>0.14000000000000001</v>
      </c>
      <c r="I4">
        <v>98</v>
      </c>
      <c r="J4">
        <v>195.55</v>
      </c>
      <c r="K4">
        <v>54.38</v>
      </c>
      <c r="L4">
        <v>1.5</v>
      </c>
      <c r="M4">
        <v>96</v>
      </c>
      <c r="N4">
        <v>39.67</v>
      </c>
      <c r="O4">
        <v>24351.61</v>
      </c>
      <c r="P4">
        <v>202.3</v>
      </c>
      <c r="Q4">
        <v>988.45</v>
      </c>
      <c r="R4">
        <v>98.79</v>
      </c>
      <c r="S4">
        <v>35.43</v>
      </c>
      <c r="T4">
        <v>30216.47</v>
      </c>
      <c r="U4">
        <v>0.36</v>
      </c>
      <c r="V4">
        <v>0.77</v>
      </c>
      <c r="W4">
        <v>3.13</v>
      </c>
      <c r="X4">
        <v>1.97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4.9722</v>
      </c>
      <c r="E5">
        <v>20.11</v>
      </c>
      <c r="F5">
        <v>14.41</v>
      </c>
      <c r="G5">
        <v>10.54</v>
      </c>
      <c r="H5">
        <v>0.16</v>
      </c>
      <c r="I5">
        <v>82</v>
      </c>
      <c r="J5">
        <v>195.93</v>
      </c>
      <c r="K5">
        <v>54.38</v>
      </c>
      <c r="L5">
        <v>1.75</v>
      </c>
      <c r="M5">
        <v>80</v>
      </c>
      <c r="N5">
        <v>39.81</v>
      </c>
      <c r="O5">
        <v>24399.39</v>
      </c>
      <c r="P5">
        <v>197.05</v>
      </c>
      <c r="Q5">
        <v>988.29</v>
      </c>
      <c r="R5">
        <v>88.84</v>
      </c>
      <c r="S5">
        <v>35.43</v>
      </c>
      <c r="T5">
        <v>25323.32</v>
      </c>
      <c r="U5">
        <v>0.4</v>
      </c>
      <c r="V5">
        <v>0.79</v>
      </c>
      <c r="W5">
        <v>3.11</v>
      </c>
      <c r="X5">
        <v>1.65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5.1527000000000003</v>
      </c>
      <c r="E6">
        <v>19.41</v>
      </c>
      <c r="F6">
        <v>14.17</v>
      </c>
      <c r="G6">
        <v>12.14</v>
      </c>
      <c r="H6">
        <v>0.18</v>
      </c>
      <c r="I6">
        <v>70</v>
      </c>
      <c r="J6">
        <v>196.32</v>
      </c>
      <c r="K6">
        <v>54.38</v>
      </c>
      <c r="L6">
        <v>2</v>
      </c>
      <c r="M6">
        <v>68</v>
      </c>
      <c r="N6">
        <v>39.950000000000003</v>
      </c>
      <c r="O6">
        <v>24447.22</v>
      </c>
      <c r="P6">
        <v>192.84</v>
      </c>
      <c r="Q6">
        <v>988.2</v>
      </c>
      <c r="R6">
        <v>81.349999999999994</v>
      </c>
      <c r="S6">
        <v>35.43</v>
      </c>
      <c r="T6">
        <v>21635.25</v>
      </c>
      <c r="U6">
        <v>0.44</v>
      </c>
      <c r="V6">
        <v>0.8</v>
      </c>
      <c r="W6">
        <v>3.09</v>
      </c>
      <c r="X6">
        <v>1.41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5.2851999999999997</v>
      </c>
      <c r="E7">
        <v>18.920000000000002</v>
      </c>
      <c r="F7">
        <v>13.99</v>
      </c>
      <c r="G7">
        <v>13.54</v>
      </c>
      <c r="H7">
        <v>0.2</v>
      </c>
      <c r="I7">
        <v>62</v>
      </c>
      <c r="J7">
        <v>196.71</v>
      </c>
      <c r="K7">
        <v>54.38</v>
      </c>
      <c r="L7">
        <v>2.25</v>
      </c>
      <c r="M7">
        <v>60</v>
      </c>
      <c r="N7">
        <v>40.08</v>
      </c>
      <c r="O7">
        <v>24495.09</v>
      </c>
      <c r="P7">
        <v>189.47</v>
      </c>
      <c r="Q7">
        <v>988.31</v>
      </c>
      <c r="R7">
        <v>75.95</v>
      </c>
      <c r="S7">
        <v>35.43</v>
      </c>
      <c r="T7">
        <v>18974.62</v>
      </c>
      <c r="U7">
        <v>0.47</v>
      </c>
      <c r="V7">
        <v>0.81</v>
      </c>
      <c r="W7">
        <v>3.07</v>
      </c>
      <c r="X7">
        <v>1.24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5.4109999999999996</v>
      </c>
      <c r="E8">
        <v>18.48</v>
      </c>
      <c r="F8">
        <v>13.83</v>
      </c>
      <c r="G8">
        <v>15.08</v>
      </c>
      <c r="H8">
        <v>0.23</v>
      </c>
      <c r="I8">
        <v>55</v>
      </c>
      <c r="J8">
        <v>197.1</v>
      </c>
      <c r="K8">
        <v>54.38</v>
      </c>
      <c r="L8">
        <v>2.5</v>
      </c>
      <c r="M8">
        <v>53</v>
      </c>
      <c r="N8">
        <v>40.22</v>
      </c>
      <c r="O8">
        <v>24543.01</v>
      </c>
      <c r="P8">
        <v>186.18</v>
      </c>
      <c r="Q8">
        <v>988.19</v>
      </c>
      <c r="R8">
        <v>71.209999999999994</v>
      </c>
      <c r="S8">
        <v>35.43</v>
      </c>
      <c r="T8">
        <v>16639.16</v>
      </c>
      <c r="U8">
        <v>0.5</v>
      </c>
      <c r="V8">
        <v>0.82</v>
      </c>
      <c r="W8">
        <v>3.05</v>
      </c>
      <c r="X8">
        <v>1.07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5.5128000000000004</v>
      </c>
      <c r="E9">
        <v>18.14</v>
      </c>
      <c r="F9">
        <v>13.72</v>
      </c>
      <c r="G9">
        <v>16.8</v>
      </c>
      <c r="H9">
        <v>0.25</v>
      </c>
      <c r="I9">
        <v>49</v>
      </c>
      <c r="J9">
        <v>197.49</v>
      </c>
      <c r="K9">
        <v>54.38</v>
      </c>
      <c r="L9">
        <v>2.75</v>
      </c>
      <c r="M9">
        <v>47</v>
      </c>
      <c r="N9">
        <v>40.36</v>
      </c>
      <c r="O9">
        <v>24590.98</v>
      </c>
      <c r="P9">
        <v>183.76</v>
      </c>
      <c r="Q9">
        <v>988.34</v>
      </c>
      <c r="R9">
        <v>67.53</v>
      </c>
      <c r="S9">
        <v>35.43</v>
      </c>
      <c r="T9">
        <v>14832.26</v>
      </c>
      <c r="U9">
        <v>0.52</v>
      </c>
      <c r="V9">
        <v>0.83</v>
      </c>
      <c r="W9">
        <v>3.05</v>
      </c>
      <c r="X9">
        <v>0.96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5.5864000000000003</v>
      </c>
      <c r="E10">
        <v>17.899999999999999</v>
      </c>
      <c r="F10">
        <v>13.63</v>
      </c>
      <c r="G10">
        <v>18.18</v>
      </c>
      <c r="H10">
        <v>0.27</v>
      </c>
      <c r="I10">
        <v>45</v>
      </c>
      <c r="J10">
        <v>197.88</v>
      </c>
      <c r="K10">
        <v>54.38</v>
      </c>
      <c r="L10">
        <v>3</v>
      </c>
      <c r="M10">
        <v>43</v>
      </c>
      <c r="N10">
        <v>40.5</v>
      </c>
      <c r="O10">
        <v>24639</v>
      </c>
      <c r="P10">
        <v>181.66</v>
      </c>
      <c r="Q10">
        <v>988.25</v>
      </c>
      <c r="R10">
        <v>65.11</v>
      </c>
      <c r="S10">
        <v>35.43</v>
      </c>
      <c r="T10">
        <v>13639.5</v>
      </c>
      <c r="U10">
        <v>0.54</v>
      </c>
      <c r="V10">
        <v>0.84</v>
      </c>
      <c r="W10">
        <v>3.04</v>
      </c>
      <c r="X10">
        <v>0.88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5.6608999999999998</v>
      </c>
      <c r="E11">
        <v>17.66</v>
      </c>
      <c r="F11">
        <v>13.55</v>
      </c>
      <c r="G11">
        <v>19.829999999999998</v>
      </c>
      <c r="H11">
        <v>0.28999999999999998</v>
      </c>
      <c r="I11">
        <v>41</v>
      </c>
      <c r="J11">
        <v>198.27</v>
      </c>
      <c r="K11">
        <v>54.38</v>
      </c>
      <c r="L11">
        <v>3.25</v>
      </c>
      <c r="M11">
        <v>39</v>
      </c>
      <c r="N11">
        <v>40.64</v>
      </c>
      <c r="O11">
        <v>24687.06</v>
      </c>
      <c r="P11">
        <v>179.64</v>
      </c>
      <c r="Q11">
        <v>988.32</v>
      </c>
      <c r="R11">
        <v>62.4</v>
      </c>
      <c r="S11">
        <v>35.43</v>
      </c>
      <c r="T11">
        <v>12306.28</v>
      </c>
      <c r="U11">
        <v>0.56999999999999995</v>
      </c>
      <c r="V11">
        <v>0.84</v>
      </c>
      <c r="W11">
        <v>3.04</v>
      </c>
      <c r="X11">
        <v>0.8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5.7210999999999999</v>
      </c>
      <c r="E12">
        <v>17.48</v>
      </c>
      <c r="F12">
        <v>13.48</v>
      </c>
      <c r="G12">
        <v>21.29</v>
      </c>
      <c r="H12">
        <v>0.31</v>
      </c>
      <c r="I12">
        <v>38</v>
      </c>
      <c r="J12">
        <v>198.66</v>
      </c>
      <c r="K12">
        <v>54.38</v>
      </c>
      <c r="L12">
        <v>3.5</v>
      </c>
      <c r="M12">
        <v>36</v>
      </c>
      <c r="N12">
        <v>40.78</v>
      </c>
      <c r="O12">
        <v>24735.17</v>
      </c>
      <c r="P12">
        <v>177.6</v>
      </c>
      <c r="Q12">
        <v>988.14</v>
      </c>
      <c r="R12">
        <v>60.72</v>
      </c>
      <c r="S12">
        <v>35.43</v>
      </c>
      <c r="T12">
        <v>11479.99</v>
      </c>
      <c r="U12">
        <v>0.57999999999999996</v>
      </c>
      <c r="V12">
        <v>0.85</v>
      </c>
      <c r="W12">
        <v>3.02</v>
      </c>
      <c r="X12">
        <v>0.73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5.7766999999999999</v>
      </c>
      <c r="E13">
        <v>17.309999999999999</v>
      </c>
      <c r="F13">
        <v>13.43</v>
      </c>
      <c r="G13">
        <v>23.03</v>
      </c>
      <c r="H13">
        <v>0.33</v>
      </c>
      <c r="I13">
        <v>35</v>
      </c>
      <c r="J13">
        <v>199.05</v>
      </c>
      <c r="K13">
        <v>54.38</v>
      </c>
      <c r="L13">
        <v>3.75</v>
      </c>
      <c r="M13">
        <v>33</v>
      </c>
      <c r="N13">
        <v>40.92</v>
      </c>
      <c r="O13">
        <v>24783.33</v>
      </c>
      <c r="P13">
        <v>176.09</v>
      </c>
      <c r="Q13">
        <v>988.15</v>
      </c>
      <c r="R13">
        <v>58.85</v>
      </c>
      <c r="S13">
        <v>35.43</v>
      </c>
      <c r="T13">
        <v>10558.87</v>
      </c>
      <c r="U13">
        <v>0.6</v>
      </c>
      <c r="V13">
        <v>0.85</v>
      </c>
      <c r="W13">
        <v>3.02</v>
      </c>
      <c r="X13">
        <v>0.68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5.8197999999999999</v>
      </c>
      <c r="E14">
        <v>17.18</v>
      </c>
      <c r="F14">
        <v>13.38</v>
      </c>
      <c r="G14">
        <v>24.33</v>
      </c>
      <c r="H14">
        <v>0.36</v>
      </c>
      <c r="I14">
        <v>33</v>
      </c>
      <c r="J14">
        <v>199.44</v>
      </c>
      <c r="K14">
        <v>54.38</v>
      </c>
      <c r="L14">
        <v>4</v>
      </c>
      <c r="M14">
        <v>31</v>
      </c>
      <c r="N14">
        <v>41.06</v>
      </c>
      <c r="O14">
        <v>24831.54</v>
      </c>
      <c r="P14">
        <v>174.34</v>
      </c>
      <c r="Q14">
        <v>988.11</v>
      </c>
      <c r="R14">
        <v>57.38</v>
      </c>
      <c r="S14">
        <v>35.43</v>
      </c>
      <c r="T14">
        <v>9836.91</v>
      </c>
      <c r="U14">
        <v>0.62</v>
      </c>
      <c r="V14">
        <v>0.85</v>
      </c>
      <c r="W14">
        <v>3.01</v>
      </c>
      <c r="X14">
        <v>0.63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5.8548</v>
      </c>
      <c r="E15">
        <v>17.079999999999998</v>
      </c>
      <c r="F15">
        <v>13.36</v>
      </c>
      <c r="G15">
        <v>25.85</v>
      </c>
      <c r="H15">
        <v>0.38</v>
      </c>
      <c r="I15">
        <v>31</v>
      </c>
      <c r="J15">
        <v>199.83</v>
      </c>
      <c r="K15">
        <v>54.38</v>
      </c>
      <c r="L15">
        <v>4.25</v>
      </c>
      <c r="M15">
        <v>29</v>
      </c>
      <c r="N15">
        <v>41.2</v>
      </c>
      <c r="O15">
        <v>24879.79</v>
      </c>
      <c r="P15">
        <v>172.97</v>
      </c>
      <c r="Q15">
        <v>988.19</v>
      </c>
      <c r="R15">
        <v>56.43</v>
      </c>
      <c r="S15">
        <v>35.43</v>
      </c>
      <c r="T15">
        <v>9371.49</v>
      </c>
      <c r="U15">
        <v>0.63</v>
      </c>
      <c r="V15">
        <v>0.85</v>
      </c>
      <c r="W15">
        <v>3.02</v>
      </c>
      <c r="X15">
        <v>0.6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5.8966000000000003</v>
      </c>
      <c r="E16">
        <v>16.96</v>
      </c>
      <c r="F16">
        <v>13.31</v>
      </c>
      <c r="G16">
        <v>27.55</v>
      </c>
      <c r="H16">
        <v>0.4</v>
      </c>
      <c r="I16">
        <v>29</v>
      </c>
      <c r="J16">
        <v>200.22</v>
      </c>
      <c r="K16">
        <v>54.38</v>
      </c>
      <c r="L16">
        <v>4.5</v>
      </c>
      <c r="M16">
        <v>27</v>
      </c>
      <c r="N16">
        <v>41.35</v>
      </c>
      <c r="O16">
        <v>24928.09</v>
      </c>
      <c r="P16">
        <v>171.23</v>
      </c>
      <c r="Q16">
        <v>988.14</v>
      </c>
      <c r="R16">
        <v>55.4</v>
      </c>
      <c r="S16">
        <v>35.43</v>
      </c>
      <c r="T16">
        <v>8864.65</v>
      </c>
      <c r="U16">
        <v>0.64</v>
      </c>
      <c r="V16">
        <v>0.86</v>
      </c>
      <c r="W16">
        <v>3</v>
      </c>
      <c r="X16">
        <v>0.56000000000000005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5.9386000000000001</v>
      </c>
      <c r="E17">
        <v>16.84</v>
      </c>
      <c r="F17">
        <v>13.27</v>
      </c>
      <c r="G17">
        <v>29.49</v>
      </c>
      <c r="H17">
        <v>0.42</v>
      </c>
      <c r="I17">
        <v>27</v>
      </c>
      <c r="J17">
        <v>200.61</v>
      </c>
      <c r="K17">
        <v>54.38</v>
      </c>
      <c r="L17">
        <v>4.75</v>
      </c>
      <c r="M17">
        <v>25</v>
      </c>
      <c r="N17">
        <v>41.49</v>
      </c>
      <c r="O17">
        <v>24976.45</v>
      </c>
      <c r="P17">
        <v>169.72</v>
      </c>
      <c r="Q17">
        <v>988.09</v>
      </c>
      <c r="R17">
        <v>53.88</v>
      </c>
      <c r="S17">
        <v>35.43</v>
      </c>
      <c r="T17">
        <v>8116.14</v>
      </c>
      <c r="U17">
        <v>0.66</v>
      </c>
      <c r="V17">
        <v>0.86</v>
      </c>
      <c r="W17">
        <v>3.01</v>
      </c>
      <c r="X17">
        <v>0.52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5.9858000000000002</v>
      </c>
      <c r="E18">
        <v>16.71</v>
      </c>
      <c r="F18">
        <v>13.22</v>
      </c>
      <c r="G18">
        <v>31.72</v>
      </c>
      <c r="H18">
        <v>0.44</v>
      </c>
      <c r="I18">
        <v>25</v>
      </c>
      <c r="J18">
        <v>201.01</v>
      </c>
      <c r="K18">
        <v>54.38</v>
      </c>
      <c r="L18">
        <v>5</v>
      </c>
      <c r="M18">
        <v>23</v>
      </c>
      <c r="N18">
        <v>41.63</v>
      </c>
      <c r="O18">
        <v>25024.84</v>
      </c>
      <c r="P18">
        <v>167.75</v>
      </c>
      <c r="Q18">
        <v>988.19</v>
      </c>
      <c r="R18">
        <v>52.31</v>
      </c>
      <c r="S18">
        <v>35.43</v>
      </c>
      <c r="T18">
        <v>7340.77</v>
      </c>
      <c r="U18">
        <v>0.68</v>
      </c>
      <c r="V18">
        <v>0.86</v>
      </c>
      <c r="W18">
        <v>3</v>
      </c>
      <c r="X18">
        <v>0.46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6.0038999999999998</v>
      </c>
      <c r="E19">
        <v>16.66</v>
      </c>
      <c r="F19">
        <v>13.21</v>
      </c>
      <c r="G19">
        <v>33.01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166.79</v>
      </c>
      <c r="Q19">
        <v>988.1</v>
      </c>
      <c r="R19">
        <v>52.06</v>
      </c>
      <c r="S19">
        <v>35.43</v>
      </c>
      <c r="T19">
        <v>7218.76</v>
      </c>
      <c r="U19">
        <v>0.68</v>
      </c>
      <c r="V19">
        <v>0.86</v>
      </c>
      <c r="W19">
        <v>3</v>
      </c>
      <c r="X19">
        <v>0.45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6.0244</v>
      </c>
      <c r="E20">
        <v>16.600000000000001</v>
      </c>
      <c r="F20">
        <v>13.19</v>
      </c>
      <c r="G20">
        <v>34.4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165.71</v>
      </c>
      <c r="Q20">
        <v>988.16</v>
      </c>
      <c r="R20">
        <v>51.31</v>
      </c>
      <c r="S20">
        <v>35.43</v>
      </c>
      <c r="T20">
        <v>6849.09</v>
      </c>
      <c r="U20">
        <v>0.69</v>
      </c>
      <c r="V20">
        <v>0.86</v>
      </c>
      <c r="W20">
        <v>3</v>
      </c>
      <c r="X20">
        <v>0.43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6.0456000000000003</v>
      </c>
      <c r="E21">
        <v>16.54</v>
      </c>
      <c r="F21">
        <v>13.17</v>
      </c>
      <c r="G21">
        <v>35.909999999999997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164.38</v>
      </c>
      <c r="Q21">
        <v>988.09</v>
      </c>
      <c r="R21">
        <v>50.77</v>
      </c>
      <c r="S21">
        <v>35.43</v>
      </c>
      <c r="T21">
        <v>6587.05</v>
      </c>
      <c r="U21">
        <v>0.7</v>
      </c>
      <c r="V21">
        <v>0.87</v>
      </c>
      <c r="W21">
        <v>3</v>
      </c>
      <c r="X21">
        <v>0.41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6.0648</v>
      </c>
      <c r="E22">
        <v>16.489999999999998</v>
      </c>
      <c r="F22">
        <v>13.16</v>
      </c>
      <c r="G22">
        <v>37.590000000000003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162.91999999999999</v>
      </c>
      <c r="Q22">
        <v>988.14</v>
      </c>
      <c r="R22">
        <v>50.38</v>
      </c>
      <c r="S22">
        <v>35.43</v>
      </c>
      <c r="T22">
        <v>6396.35</v>
      </c>
      <c r="U22">
        <v>0.7</v>
      </c>
      <c r="V22">
        <v>0.87</v>
      </c>
      <c r="W22">
        <v>2.99</v>
      </c>
      <c r="X22">
        <v>0.4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6.0936000000000003</v>
      </c>
      <c r="E23">
        <v>16.41</v>
      </c>
      <c r="F23">
        <v>13.12</v>
      </c>
      <c r="G23">
        <v>39.35</v>
      </c>
      <c r="H23">
        <v>0.55000000000000004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161.55000000000001</v>
      </c>
      <c r="Q23">
        <v>988.15</v>
      </c>
      <c r="R23">
        <v>48.88</v>
      </c>
      <c r="S23">
        <v>35.43</v>
      </c>
      <c r="T23">
        <v>5652.43</v>
      </c>
      <c r="U23">
        <v>0.72</v>
      </c>
      <c r="V23">
        <v>0.87</v>
      </c>
      <c r="W23">
        <v>3</v>
      </c>
      <c r="X23">
        <v>0.36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6.1134000000000004</v>
      </c>
      <c r="E24">
        <v>16.36</v>
      </c>
      <c r="F24">
        <v>13.1</v>
      </c>
      <c r="G24">
        <v>41.37</v>
      </c>
      <c r="H24">
        <v>0.56999999999999995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160.34</v>
      </c>
      <c r="Q24">
        <v>988.09</v>
      </c>
      <c r="R24">
        <v>48.63</v>
      </c>
      <c r="S24">
        <v>35.43</v>
      </c>
      <c r="T24">
        <v>5532.75</v>
      </c>
      <c r="U24">
        <v>0.73</v>
      </c>
      <c r="V24">
        <v>0.87</v>
      </c>
      <c r="W24">
        <v>2.99</v>
      </c>
      <c r="X24">
        <v>0.35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6.1321000000000003</v>
      </c>
      <c r="E25">
        <v>16.309999999999999</v>
      </c>
      <c r="F25">
        <v>13.09</v>
      </c>
      <c r="G25">
        <v>43.64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159.13999999999999</v>
      </c>
      <c r="Q25">
        <v>988.15</v>
      </c>
      <c r="R25">
        <v>48.32</v>
      </c>
      <c r="S25">
        <v>35.43</v>
      </c>
      <c r="T25">
        <v>5379.8</v>
      </c>
      <c r="U25">
        <v>0.73</v>
      </c>
      <c r="V25">
        <v>0.87</v>
      </c>
      <c r="W25">
        <v>2.99</v>
      </c>
      <c r="X25">
        <v>0.34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6.1544999999999996</v>
      </c>
      <c r="E26">
        <v>16.25</v>
      </c>
      <c r="F26">
        <v>13.07</v>
      </c>
      <c r="G26">
        <v>46.13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156.15</v>
      </c>
      <c r="Q26">
        <v>988.14</v>
      </c>
      <c r="R26">
        <v>47.48</v>
      </c>
      <c r="S26">
        <v>35.43</v>
      </c>
      <c r="T26">
        <v>4965.78</v>
      </c>
      <c r="U26">
        <v>0.75</v>
      </c>
      <c r="V26">
        <v>0.87</v>
      </c>
      <c r="W26">
        <v>3</v>
      </c>
      <c r="X26">
        <v>0.32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6.1515000000000004</v>
      </c>
      <c r="E27">
        <v>16.260000000000002</v>
      </c>
      <c r="F27">
        <v>13.08</v>
      </c>
      <c r="G27">
        <v>46.16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155.84</v>
      </c>
      <c r="Q27">
        <v>988.17</v>
      </c>
      <c r="R27">
        <v>47.74</v>
      </c>
      <c r="S27">
        <v>35.43</v>
      </c>
      <c r="T27">
        <v>5096.8900000000003</v>
      </c>
      <c r="U27">
        <v>0.74</v>
      </c>
      <c r="V27">
        <v>0.87</v>
      </c>
      <c r="W27">
        <v>2.99</v>
      </c>
      <c r="X27">
        <v>0.32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6.1764000000000001</v>
      </c>
      <c r="E28">
        <v>16.190000000000001</v>
      </c>
      <c r="F28">
        <v>13.05</v>
      </c>
      <c r="G28">
        <v>48.94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154.82</v>
      </c>
      <c r="Q28">
        <v>988.14</v>
      </c>
      <c r="R28">
        <v>46.98</v>
      </c>
      <c r="S28">
        <v>35.43</v>
      </c>
      <c r="T28">
        <v>4719.78</v>
      </c>
      <c r="U28">
        <v>0.75</v>
      </c>
      <c r="V28">
        <v>0.87</v>
      </c>
      <c r="W28">
        <v>2.99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6.1737000000000002</v>
      </c>
      <c r="E29">
        <v>16.2</v>
      </c>
      <c r="F29">
        <v>13.06</v>
      </c>
      <c r="G29">
        <v>48.97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153.59</v>
      </c>
      <c r="Q29">
        <v>988.19</v>
      </c>
      <c r="R29">
        <v>47.22</v>
      </c>
      <c r="S29">
        <v>35.43</v>
      </c>
      <c r="T29">
        <v>4842.0600000000004</v>
      </c>
      <c r="U29">
        <v>0.75</v>
      </c>
      <c r="V29">
        <v>0.87</v>
      </c>
      <c r="W29">
        <v>2.99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6.1974</v>
      </c>
      <c r="E30">
        <v>16.14</v>
      </c>
      <c r="F30">
        <v>13.04</v>
      </c>
      <c r="G30">
        <v>52.14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152.25</v>
      </c>
      <c r="Q30">
        <v>988.08</v>
      </c>
      <c r="R30">
        <v>46.61</v>
      </c>
      <c r="S30">
        <v>35.43</v>
      </c>
      <c r="T30">
        <v>4543.12</v>
      </c>
      <c r="U30">
        <v>0.76</v>
      </c>
      <c r="V30">
        <v>0.87</v>
      </c>
      <c r="W30">
        <v>2.99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6.1981000000000002</v>
      </c>
      <c r="E31">
        <v>16.13</v>
      </c>
      <c r="F31">
        <v>13.03</v>
      </c>
      <c r="G31">
        <v>52.14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150.76</v>
      </c>
      <c r="Q31">
        <v>988.16</v>
      </c>
      <c r="R31">
        <v>46.57</v>
      </c>
      <c r="S31">
        <v>35.43</v>
      </c>
      <c r="T31">
        <v>4519.8100000000004</v>
      </c>
      <c r="U31">
        <v>0.76</v>
      </c>
      <c r="V31">
        <v>0.87</v>
      </c>
      <c r="W31">
        <v>2.99</v>
      </c>
      <c r="X31">
        <v>0.28000000000000003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6.2225000000000001</v>
      </c>
      <c r="E32">
        <v>16.07</v>
      </c>
      <c r="F32">
        <v>13.01</v>
      </c>
      <c r="G32">
        <v>55.76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149.91999999999999</v>
      </c>
      <c r="Q32">
        <v>988.12</v>
      </c>
      <c r="R32">
        <v>45.61</v>
      </c>
      <c r="S32">
        <v>35.43</v>
      </c>
      <c r="T32">
        <v>4045.62</v>
      </c>
      <c r="U32">
        <v>0.78</v>
      </c>
      <c r="V32">
        <v>0.88</v>
      </c>
      <c r="W32">
        <v>2.99</v>
      </c>
      <c r="X32">
        <v>0.26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6.2485999999999997</v>
      </c>
      <c r="E33">
        <v>16</v>
      </c>
      <c r="F33">
        <v>12.98</v>
      </c>
      <c r="G33">
        <v>59.91</v>
      </c>
      <c r="H33">
        <v>0.75</v>
      </c>
      <c r="I33">
        <v>13</v>
      </c>
      <c r="J33">
        <v>206.94</v>
      </c>
      <c r="K33">
        <v>54.38</v>
      </c>
      <c r="L33">
        <v>8.75</v>
      </c>
      <c r="M33">
        <v>11</v>
      </c>
      <c r="N33">
        <v>43.81</v>
      </c>
      <c r="O33">
        <v>25756.9</v>
      </c>
      <c r="P33">
        <v>146.85</v>
      </c>
      <c r="Q33">
        <v>988.08</v>
      </c>
      <c r="R33">
        <v>44.8</v>
      </c>
      <c r="S33">
        <v>35.43</v>
      </c>
      <c r="T33">
        <v>3643.82</v>
      </c>
      <c r="U33">
        <v>0.79</v>
      </c>
      <c r="V33">
        <v>0.88</v>
      </c>
      <c r="W33">
        <v>2.99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6.2426000000000004</v>
      </c>
      <c r="E34">
        <v>16.02</v>
      </c>
      <c r="F34">
        <v>13</v>
      </c>
      <c r="G34">
        <v>59.98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146.36000000000001</v>
      </c>
      <c r="Q34">
        <v>988.08</v>
      </c>
      <c r="R34">
        <v>45.31</v>
      </c>
      <c r="S34">
        <v>35.43</v>
      </c>
      <c r="T34">
        <v>3901.39</v>
      </c>
      <c r="U34">
        <v>0.78</v>
      </c>
      <c r="V34">
        <v>0.88</v>
      </c>
      <c r="W34">
        <v>2.99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6.2483000000000004</v>
      </c>
      <c r="E35">
        <v>16</v>
      </c>
      <c r="F35">
        <v>12.98</v>
      </c>
      <c r="G35">
        <v>59.92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144.57</v>
      </c>
      <c r="Q35">
        <v>988.08</v>
      </c>
      <c r="R35">
        <v>44.7</v>
      </c>
      <c r="S35">
        <v>35.43</v>
      </c>
      <c r="T35">
        <v>3597.84</v>
      </c>
      <c r="U35">
        <v>0.79</v>
      </c>
      <c r="V35">
        <v>0.88</v>
      </c>
      <c r="W35">
        <v>2.99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6.2686999999999999</v>
      </c>
      <c r="E36">
        <v>15.95</v>
      </c>
      <c r="F36">
        <v>12.97</v>
      </c>
      <c r="G36">
        <v>64.84</v>
      </c>
      <c r="H36">
        <v>0.81</v>
      </c>
      <c r="I36">
        <v>12</v>
      </c>
      <c r="J36">
        <v>208.14</v>
      </c>
      <c r="K36">
        <v>54.38</v>
      </c>
      <c r="L36">
        <v>9.5</v>
      </c>
      <c r="M36">
        <v>10</v>
      </c>
      <c r="N36">
        <v>44.26</v>
      </c>
      <c r="O36">
        <v>25904.65</v>
      </c>
      <c r="P36">
        <v>142.85</v>
      </c>
      <c r="Q36">
        <v>988.08</v>
      </c>
      <c r="R36">
        <v>44.52</v>
      </c>
      <c r="S36">
        <v>35.43</v>
      </c>
      <c r="T36">
        <v>3513.33</v>
      </c>
      <c r="U36">
        <v>0.8</v>
      </c>
      <c r="V36">
        <v>0.88</v>
      </c>
      <c r="W36">
        <v>2.98</v>
      </c>
      <c r="X36">
        <v>0.22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6.2698</v>
      </c>
      <c r="E37">
        <v>15.95</v>
      </c>
      <c r="F37">
        <v>12.97</v>
      </c>
      <c r="G37">
        <v>64.83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142.74</v>
      </c>
      <c r="Q37">
        <v>988.11</v>
      </c>
      <c r="R37">
        <v>44.35</v>
      </c>
      <c r="S37">
        <v>35.43</v>
      </c>
      <c r="T37">
        <v>3428.22</v>
      </c>
      <c r="U37">
        <v>0.8</v>
      </c>
      <c r="V37">
        <v>0.88</v>
      </c>
      <c r="W37">
        <v>2.98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6.2676999999999996</v>
      </c>
      <c r="E38">
        <v>15.95</v>
      </c>
      <c r="F38">
        <v>12.97</v>
      </c>
      <c r="G38">
        <v>64.86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141.91999999999999</v>
      </c>
      <c r="Q38">
        <v>988.08</v>
      </c>
      <c r="R38">
        <v>44.3</v>
      </c>
      <c r="S38">
        <v>35.43</v>
      </c>
      <c r="T38">
        <v>3399.89</v>
      </c>
      <c r="U38">
        <v>0.8</v>
      </c>
      <c r="V38">
        <v>0.88</v>
      </c>
      <c r="W38">
        <v>2.99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6.2662000000000004</v>
      </c>
      <c r="E39">
        <v>15.96</v>
      </c>
      <c r="F39">
        <v>12.98</v>
      </c>
      <c r="G39">
        <v>64.88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4</v>
      </c>
      <c r="N39">
        <v>44.71</v>
      </c>
      <c r="O39">
        <v>26052.86</v>
      </c>
      <c r="P39">
        <v>141.49</v>
      </c>
      <c r="Q39">
        <v>988.08</v>
      </c>
      <c r="R39">
        <v>44.42</v>
      </c>
      <c r="S39">
        <v>35.43</v>
      </c>
      <c r="T39">
        <v>3460.46</v>
      </c>
      <c r="U39">
        <v>0.8</v>
      </c>
      <c r="V39">
        <v>0.88</v>
      </c>
      <c r="W39">
        <v>2.99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6.2882999999999996</v>
      </c>
      <c r="E40">
        <v>15.9</v>
      </c>
      <c r="F40">
        <v>12.96</v>
      </c>
      <c r="G40">
        <v>70.680000000000007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2</v>
      </c>
      <c r="N40">
        <v>44.87</v>
      </c>
      <c r="O40">
        <v>26102.37</v>
      </c>
      <c r="P40">
        <v>140.66</v>
      </c>
      <c r="Q40">
        <v>988.08</v>
      </c>
      <c r="R40">
        <v>43.77</v>
      </c>
      <c r="S40">
        <v>35.43</v>
      </c>
      <c r="T40">
        <v>3142.08</v>
      </c>
      <c r="U40">
        <v>0.81</v>
      </c>
      <c r="V40">
        <v>0.88</v>
      </c>
      <c r="W40">
        <v>2.99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6.2899000000000003</v>
      </c>
      <c r="E41">
        <v>15.9</v>
      </c>
      <c r="F41">
        <v>12.95</v>
      </c>
      <c r="G41">
        <v>70.66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0</v>
      </c>
      <c r="N41">
        <v>45.02</v>
      </c>
      <c r="O41">
        <v>26151.93</v>
      </c>
      <c r="P41">
        <v>141.04</v>
      </c>
      <c r="Q41">
        <v>988.18</v>
      </c>
      <c r="R41">
        <v>43.75</v>
      </c>
      <c r="S41">
        <v>35.43</v>
      </c>
      <c r="T41">
        <v>3131.04</v>
      </c>
      <c r="U41">
        <v>0.81</v>
      </c>
      <c r="V41">
        <v>0.88</v>
      </c>
      <c r="W41">
        <v>2.99</v>
      </c>
      <c r="X41">
        <v>0.2</v>
      </c>
      <c r="Y41">
        <v>1</v>
      </c>
      <c r="Z4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7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140</v>
      </c>
      <c r="C2" t="s">
        <v>26</v>
      </c>
      <c r="D2">
        <v>3.2004000000000001</v>
      </c>
      <c r="E2">
        <v>31.25</v>
      </c>
      <c r="F2">
        <v>17.170000000000002</v>
      </c>
      <c r="G2">
        <v>4.8099999999999996</v>
      </c>
      <c r="H2">
        <v>0.06</v>
      </c>
      <c r="I2">
        <v>214</v>
      </c>
      <c r="J2">
        <v>274.08999999999997</v>
      </c>
      <c r="K2">
        <v>60.56</v>
      </c>
      <c r="L2">
        <v>1</v>
      </c>
      <c r="M2">
        <v>212</v>
      </c>
      <c r="N2">
        <v>72.53</v>
      </c>
      <c r="O2">
        <v>34038.11</v>
      </c>
      <c r="P2">
        <v>297.18</v>
      </c>
      <c r="Q2">
        <v>988.54</v>
      </c>
      <c r="R2">
        <v>175.09</v>
      </c>
      <c r="S2">
        <v>35.43</v>
      </c>
      <c r="T2">
        <v>67784.62</v>
      </c>
      <c r="U2">
        <v>0.2</v>
      </c>
      <c r="V2">
        <v>0.66</v>
      </c>
      <c r="W2">
        <v>3.33</v>
      </c>
      <c r="X2">
        <v>4.41</v>
      </c>
      <c r="Y2">
        <v>1</v>
      </c>
      <c r="Z2">
        <v>10</v>
      </c>
    </row>
    <row r="3" spans="1:26" x14ac:dyDescent="0.3">
      <c r="A3">
        <v>1</v>
      </c>
      <c r="B3">
        <v>140</v>
      </c>
      <c r="C3" t="s">
        <v>26</v>
      </c>
      <c r="D3">
        <v>3.6680999999999999</v>
      </c>
      <c r="E3">
        <v>27.26</v>
      </c>
      <c r="F3">
        <v>16.010000000000002</v>
      </c>
      <c r="G3">
        <v>6</v>
      </c>
      <c r="H3">
        <v>0.08</v>
      </c>
      <c r="I3">
        <v>160</v>
      </c>
      <c r="J3">
        <v>274.57</v>
      </c>
      <c r="K3">
        <v>60.56</v>
      </c>
      <c r="L3">
        <v>1.25</v>
      </c>
      <c r="M3">
        <v>158</v>
      </c>
      <c r="N3">
        <v>72.760000000000005</v>
      </c>
      <c r="O3">
        <v>34097.72</v>
      </c>
      <c r="P3">
        <v>276.33</v>
      </c>
      <c r="Q3">
        <v>988.39</v>
      </c>
      <c r="R3">
        <v>139.07</v>
      </c>
      <c r="S3">
        <v>35.43</v>
      </c>
      <c r="T3">
        <v>50047.02</v>
      </c>
      <c r="U3">
        <v>0.25</v>
      </c>
      <c r="V3">
        <v>0.71</v>
      </c>
      <c r="W3">
        <v>3.22</v>
      </c>
      <c r="X3">
        <v>3.25</v>
      </c>
      <c r="Y3">
        <v>1</v>
      </c>
      <c r="Z3">
        <v>10</v>
      </c>
    </row>
    <row r="4" spans="1:26" x14ac:dyDescent="0.3">
      <c r="A4">
        <v>2</v>
      </c>
      <c r="B4">
        <v>140</v>
      </c>
      <c r="C4" t="s">
        <v>26</v>
      </c>
      <c r="D4">
        <v>4.0209999999999999</v>
      </c>
      <c r="E4">
        <v>24.87</v>
      </c>
      <c r="F4">
        <v>15.34</v>
      </c>
      <c r="G4">
        <v>7.25</v>
      </c>
      <c r="H4">
        <v>0.1</v>
      </c>
      <c r="I4">
        <v>127</v>
      </c>
      <c r="J4">
        <v>275.05</v>
      </c>
      <c r="K4">
        <v>60.56</v>
      </c>
      <c r="L4">
        <v>1.5</v>
      </c>
      <c r="M4">
        <v>125</v>
      </c>
      <c r="N4">
        <v>73</v>
      </c>
      <c r="O4">
        <v>34157.42</v>
      </c>
      <c r="P4">
        <v>264.16000000000003</v>
      </c>
      <c r="Q4">
        <v>988.45</v>
      </c>
      <c r="R4">
        <v>117.74</v>
      </c>
      <c r="S4">
        <v>35.43</v>
      </c>
      <c r="T4">
        <v>39548.11</v>
      </c>
      <c r="U4">
        <v>0.3</v>
      </c>
      <c r="V4">
        <v>0.74</v>
      </c>
      <c r="W4">
        <v>3.18</v>
      </c>
      <c r="X4">
        <v>2.58</v>
      </c>
      <c r="Y4">
        <v>1</v>
      </c>
      <c r="Z4">
        <v>10</v>
      </c>
    </row>
    <row r="5" spans="1:26" x14ac:dyDescent="0.3">
      <c r="A5">
        <v>3</v>
      </c>
      <c r="B5">
        <v>140</v>
      </c>
      <c r="C5" t="s">
        <v>26</v>
      </c>
      <c r="D5">
        <v>4.2869000000000002</v>
      </c>
      <c r="E5">
        <v>23.33</v>
      </c>
      <c r="F5">
        <v>14.89</v>
      </c>
      <c r="G5">
        <v>8.43</v>
      </c>
      <c r="H5">
        <v>0.11</v>
      </c>
      <c r="I5">
        <v>106</v>
      </c>
      <c r="J5">
        <v>275.54000000000002</v>
      </c>
      <c r="K5">
        <v>60.56</v>
      </c>
      <c r="L5">
        <v>1.75</v>
      </c>
      <c r="M5">
        <v>104</v>
      </c>
      <c r="N5">
        <v>73.23</v>
      </c>
      <c r="O5">
        <v>34217.22</v>
      </c>
      <c r="P5">
        <v>255.87</v>
      </c>
      <c r="Q5">
        <v>988.5</v>
      </c>
      <c r="R5">
        <v>104.22</v>
      </c>
      <c r="S5">
        <v>35.43</v>
      </c>
      <c r="T5">
        <v>32893.230000000003</v>
      </c>
      <c r="U5">
        <v>0.34</v>
      </c>
      <c r="V5">
        <v>0.77</v>
      </c>
      <c r="W5">
        <v>3.13</v>
      </c>
      <c r="X5">
        <v>2.13</v>
      </c>
      <c r="Y5">
        <v>1</v>
      </c>
      <c r="Z5">
        <v>10</v>
      </c>
    </row>
    <row r="6" spans="1:26" x14ac:dyDescent="0.3">
      <c r="A6">
        <v>4</v>
      </c>
      <c r="B6">
        <v>140</v>
      </c>
      <c r="C6" t="s">
        <v>26</v>
      </c>
      <c r="D6">
        <v>4.5003000000000002</v>
      </c>
      <c r="E6">
        <v>22.22</v>
      </c>
      <c r="F6">
        <v>14.57</v>
      </c>
      <c r="G6">
        <v>9.6</v>
      </c>
      <c r="H6">
        <v>0.13</v>
      </c>
      <c r="I6">
        <v>91</v>
      </c>
      <c r="J6">
        <v>276.02</v>
      </c>
      <c r="K6">
        <v>60.56</v>
      </c>
      <c r="L6">
        <v>2</v>
      </c>
      <c r="M6">
        <v>89</v>
      </c>
      <c r="N6">
        <v>73.47</v>
      </c>
      <c r="O6">
        <v>34277.1</v>
      </c>
      <c r="P6">
        <v>249.75</v>
      </c>
      <c r="Q6">
        <v>988.24</v>
      </c>
      <c r="R6">
        <v>94.17</v>
      </c>
      <c r="S6">
        <v>35.43</v>
      </c>
      <c r="T6">
        <v>27941.79</v>
      </c>
      <c r="U6">
        <v>0.38</v>
      </c>
      <c r="V6">
        <v>0.78</v>
      </c>
      <c r="W6">
        <v>3.11</v>
      </c>
      <c r="X6">
        <v>1.81</v>
      </c>
      <c r="Y6">
        <v>1</v>
      </c>
      <c r="Z6">
        <v>10</v>
      </c>
    </row>
    <row r="7" spans="1:26" x14ac:dyDescent="0.3">
      <c r="A7">
        <v>5</v>
      </c>
      <c r="B7">
        <v>140</v>
      </c>
      <c r="C7" t="s">
        <v>26</v>
      </c>
      <c r="D7">
        <v>4.6862000000000004</v>
      </c>
      <c r="E7">
        <v>21.34</v>
      </c>
      <c r="F7">
        <v>14.31</v>
      </c>
      <c r="G7">
        <v>10.87</v>
      </c>
      <c r="H7">
        <v>0.14000000000000001</v>
      </c>
      <c r="I7">
        <v>79</v>
      </c>
      <c r="J7">
        <v>276.51</v>
      </c>
      <c r="K7">
        <v>60.56</v>
      </c>
      <c r="L7">
        <v>2.25</v>
      </c>
      <c r="M7">
        <v>77</v>
      </c>
      <c r="N7">
        <v>73.709999999999994</v>
      </c>
      <c r="O7">
        <v>34337.08</v>
      </c>
      <c r="P7">
        <v>244.63</v>
      </c>
      <c r="Q7">
        <v>988.39</v>
      </c>
      <c r="R7">
        <v>86.28</v>
      </c>
      <c r="S7">
        <v>35.43</v>
      </c>
      <c r="T7">
        <v>24057.42</v>
      </c>
      <c r="U7">
        <v>0.41</v>
      </c>
      <c r="V7">
        <v>0.8</v>
      </c>
      <c r="W7">
        <v>3.09</v>
      </c>
      <c r="X7">
        <v>1.56</v>
      </c>
      <c r="Y7">
        <v>1</v>
      </c>
      <c r="Z7">
        <v>10</v>
      </c>
    </row>
    <row r="8" spans="1:26" x14ac:dyDescent="0.3">
      <c r="A8">
        <v>6</v>
      </c>
      <c r="B8">
        <v>140</v>
      </c>
      <c r="C8" t="s">
        <v>26</v>
      </c>
      <c r="D8">
        <v>4.8108000000000004</v>
      </c>
      <c r="E8">
        <v>20.79</v>
      </c>
      <c r="F8">
        <v>14.18</v>
      </c>
      <c r="G8">
        <v>11.98</v>
      </c>
      <c r="H8">
        <v>0.16</v>
      </c>
      <c r="I8">
        <v>71</v>
      </c>
      <c r="J8">
        <v>277</v>
      </c>
      <c r="K8">
        <v>60.56</v>
      </c>
      <c r="L8">
        <v>2.5</v>
      </c>
      <c r="M8">
        <v>69</v>
      </c>
      <c r="N8">
        <v>73.94</v>
      </c>
      <c r="O8">
        <v>34397.15</v>
      </c>
      <c r="P8">
        <v>241.88</v>
      </c>
      <c r="Q8">
        <v>988.29</v>
      </c>
      <c r="R8">
        <v>81.83</v>
      </c>
      <c r="S8">
        <v>35.43</v>
      </c>
      <c r="T8">
        <v>21873.279999999999</v>
      </c>
      <c r="U8">
        <v>0.43</v>
      </c>
      <c r="V8">
        <v>0.8</v>
      </c>
      <c r="W8">
        <v>3.09</v>
      </c>
      <c r="X8">
        <v>1.42</v>
      </c>
      <c r="Y8">
        <v>1</v>
      </c>
      <c r="Z8">
        <v>10</v>
      </c>
    </row>
    <row r="9" spans="1:26" x14ac:dyDescent="0.3">
      <c r="A9">
        <v>7</v>
      </c>
      <c r="B9">
        <v>140</v>
      </c>
      <c r="C9" t="s">
        <v>26</v>
      </c>
      <c r="D9">
        <v>4.96</v>
      </c>
      <c r="E9">
        <v>20.16</v>
      </c>
      <c r="F9">
        <v>13.97</v>
      </c>
      <c r="G9">
        <v>13.31</v>
      </c>
      <c r="H9">
        <v>0.18</v>
      </c>
      <c r="I9">
        <v>63</v>
      </c>
      <c r="J9">
        <v>277.48</v>
      </c>
      <c r="K9">
        <v>60.56</v>
      </c>
      <c r="L9">
        <v>2.75</v>
      </c>
      <c r="M9">
        <v>61</v>
      </c>
      <c r="N9">
        <v>74.180000000000007</v>
      </c>
      <c r="O9">
        <v>34457.31</v>
      </c>
      <c r="P9">
        <v>237.67</v>
      </c>
      <c r="Q9">
        <v>988.12</v>
      </c>
      <c r="R9">
        <v>75.650000000000006</v>
      </c>
      <c r="S9">
        <v>35.43</v>
      </c>
      <c r="T9">
        <v>18819.349999999999</v>
      </c>
      <c r="U9">
        <v>0.47</v>
      </c>
      <c r="V9">
        <v>0.82</v>
      </c>
      <c r="W9">
        <v>3.06</v>
      </c>
      <c r="X9">
        <v>1.22</v>
      </c>
      <c r="Y9">
        <v>1</v>
      </c>
      <c r="Z9">
        <v>10</v>
      </c>
    </row>
    <row r="10" spans="1:26" x14ac:dyDescent="0.3">
      <c r="A10">
        <v>8</v>
      </c>
      <c r="B10">
        <v>140</v>
      </c>
      <c r="C10" t="s">
        <v>26</v>
      </c>
      <c r="D10">
        <v>5.0404999999999998</v>
      </c>
      <c r="E10">
        <v>19.84</v>
      </c>
      <c r="F10">
        <v>13.91</v>
      </c>
      <c r="G10">
        <v>14.39</v>
      </c>
      <c r="H10">
        <v>0.19</v>
      </c>
      <c r="I10">
        <v>58</v>
      </c>
      <c r="J10">
        <v>277.97000000000003</v>
      </c>
      <c r="K10">
        <v>60.56</v>
      </c>
      <c r="L10">
        <v>3</v>
      </c>
      <c r="M10">
        <v>56</v>
      </c>
      <c r="N10">
        <v>74.42</v>
      </c>
      <c r="O10">
        <v>34517.57</v>
      </c>
      <c r="P10">
        <v>235.95</v>
      </c>
      <c r="Q10">
        <v>988.33</v>
      </c>
      <c r="R10">
        <v>73.55</v>
      </c>
      <c r="S10">
        <v>35.43</v>
      </c>
      <c r="T10">
        <v>17797.509999999998</v>
      </c>
      <c r="U10">
        <v>0.48</v>
      </c>
      <c r="V10">
        <v>0.82</v>
      </c>
      <c r="W10">
        <v>3.06</v>
      </c>
      <c r="X10">
        <v>1.1499999999999999</v>
      </c>
      <c r="Y10">
        <v>1</v>
      </c>
      <c r="Z10">
        <v>10</v>
      </c>
    </row>
    <row r="11" spans="1:26" x14ac:dyDescent="0.3">
      <c r="A11">
        <v>9</v>
      </c>
      <c r="B11">
        <v>140</v>
      </c>
      <c r="C11" t="s">
        <v>26</v>
      </c>
      <c r="D11">
        <v>5.1360999999999999</v>
      </c>
      <c r="E11">
        <v>19.47</v>
      </c>
      <c r="F11">
        <v>13.8</v>
      </c>
      <c r="G11">
        <v>15.62</v>
      </c>
      <c r="H11">
        <v>0.21</v>
      </c>
      <c r="I11">
        <v>53</v>
      </c>
      <c r="J11">
        <v>278.45999999999998</v>
      </c>
      <c r="K11">
        <v>60.56</v>
      </c>
      <c r="L11">
        <v>3.25</v>
      </c>
      <c r="M11">
        <v>51</v>
      </c>
      <c r="N11">
        <v>74.66</v>
      </c>
      <c r="O11">
        <v>34577.919999999998</v>
      </c>
      <c r="P11">
        <v>233.59</v>
      </c>
      <c r="Q11">
        <v>988.21</v>
      </c>
      <c r="R11">
        <v>70.38</v>
      </c>
      <c r="S11">
        <v>35.43</v>
      </c>
      <c r="T11">
        <v>16234.74</v>
      </c>
      <c r="U11">
        <v>0.5</v>
      </c>
      <c r="V11">
        <v>0.83</v>
      </c>
      <c r="W11">
        <v>3.05</v>
      </c>
      <c r="X11">
        <v>1.05</v>
      </c>
      <c r="Y11">
        <v>1</v>
      </c>
      <c r="Z11">
        <v>10</v>
      </c>
    </row>
    <row r="12" spans="1:26" x14ac:dyDescent="0.3">
      <c r="A12">
        <v>10</v>
      </c>
      <c r="B12">
        <v>140</v>
      </c>
      <c r="C12" t="s">
        <v>26</v>
      </c>
      <c r="D12">
        <v>5.2122999999999999</v>
      </c>
      <c r="E12">
        <v>19.190000000000001</v>
      </c>
      <c r="F12">
        <v>13.73</v>
      </c>
      <c r="G12">
        <v>16.809999999999999</v>
      </c>
      <c r="H12">
        <v>0.22</v>
      </c>
      <c r="I12">
        <v>49</v>
      </c>
      <c r="J12">
        <v>278.95</v>
      </c>
      <c r="K12">
        <v>60.56</v>
      </c>
      <c r="L12">
        <v>3.5</v>
      </c>
      <c r="M12">
        <v>47</v>
      </c>
      <c r="N12">
        <v>74.900000000000006</v>
      </c>
      <c r="O12">
        <v>34638.36</v>
      </c>
      <c r="P12">
        <v>231.68</v>
      </c>
      <c r="Q12">
        <v>988.34</v>
      </c>
      <c r="R12">
        <v>67.77</v>
      </c>
      <c r="S12">
        <v>35.43</v>
      </c>
      <c r="T12">
        <v>14948.62</v>
      </c>
      <c r="U12">
        <v>0.52</v>
      </c>
      <c r="V12">
        <v>0.83</v>
      </c>
      <c r="W12">
        <v>3.05</v>
      </c>
      <c r="X12">
        <v>0.97</v>
      </c>
      <c r="Y12">
        <v>1</v>
      </c>
      <c r="Z12">
        <v>10</v>
      </c>
    </row>
    <row r="13" spans="1:26" x14ac:dyDescent="0.3">
      <c r="A13">
        <v>11</v>
      </c>
      <c r="B13">
        <v>140</v>
      </c>
      <c r="C13" t="s">
        <v>26</v>
      </c>
      <c r="D13">
        <v>5.2910000000000004</v>
      </c>
      <c r="E13">
        <v>18.899999999999999</v>
      </c>
      <c r="F13">
        <v>13.65</v>
      </c>
      <c r="G13">
        <v>18.2</v>
      </c>
      <c r="H13">
        <v>0.24</v>
      </c>
      <c r="I13">
        <v>45</v>
      </c>
      <c r="J13">
        <v>279.44</v>
      </c>
      <c r="K13">
        <v>60.56</v>
      </c>
      <c r="L13">
        <v>3.75</v>
      </c>
      <c r="M13">
        <v>43</v>
      </c>
      <c r="N13">
        <v>75.14</v>
      </c>
      <c r="O13">
        <v>34698.9</v>
      </c>
      <c r="P13">
        <v>229.78</v>
      </c>
      <c r="Q13">
        <v>988.15</v>
      </c>
      <c r="R13">
        <v>65.66</v>
      </c>
      <c r="S13">
        <v>35.43</v>
      </c>
      <c r="T13">
        <v>13918.28</v>
      </c>
      <c r="U13">
        <v>0.54</v>
      </c>
      <c r="V13">
        <v>0.84</v>
      </c>
      <c r="W13">
        <v>3.04</v>
      </c>
      <c r="X13">
        <v>0.89</v>
      </c>
      <c r="Y13">
        <v>1</v>
      </c>
      <c r="Z13">
        <v>10</v>
      </c>
    </row>
    <row r="14" spans="1:26" x14ac:dyDescent="0.3">
      <c r="A14">
        <v>12</v>
      </c>
      <c r="B14">
        <v>140</v>
      </c>
      <c r="C14" t="s">
        <v>26</v>
      </c>
      <c r="D14">
        <v>5.3597999999999999</v>
      </c>
      <c r="E14">
        <v>18.66</v>
      </c>
      <c r="F14">
        <v>13.56</v>
      </c>
      <c r="G14">
        <v>19.38</v>
      </c>
      <c r="H14">
        <v>0.25</v>
      </c>
      <c r="I14">
        <v>42</v>
      </c>
      <c r="J14">
        <v>279.94</v>
      </c>
      <c r="K14">
        <v>60.56</v>
      </c>
      <c r="L14">
        <v>4</v>
      </c>
      <c r="M14">
        <v>40</v>
      </c>
      <c r="N14">
        <v>75.38</v>
      </c>
      <c r="O14">
        <v>34759.54</v>
      </c>
      <c r="P14">
        <v>227.72</v>
      </c>
      <c r="Q14">
        <v>988.16</v>
      </c>
      <c r="R14">
        <v>63</v>
      </c>
      <c r="S14">
        <v>35.43</v>
      </c>
      <c r="T14">
        <v>12599.12</v>
      </c>
      <c r="U14">
        <v>0.56000000000000005</v>
      </c>
      <c r="V14">
        <v>0.84</v>
      </c>
      <c r="W14">
        <v>3.03</v>
      </c>
      <c r="X14">
        <v>0.81</v>
      </c>
      <c r="Y14">
        <v>1</v>
      </c>
      <c r="Z14">
        <v>10</v>
      </c>
    </row>
    <row r="15" spans="1:26" x14ac:dyDescent="0.3">
      <c r="A15">
        <v>13</v>
      </c>
      <c r="B15">
        <v>140</v>
      </c>
      <c r="C15" t="s">
        <v>26</v>
      </c>
      <c r="D15">
        <v>5.3977000000000004</v>
      </c>
      <c r="E15">
        <v>18.53</v>
      </c>
      <c r="F15">
        <v>13.54</v>
      </c>
      <c r="G15">
        <v>20.3</v>
      </c>
      <c r="H15">
        <v>0.27</v>
      </c>
      <c r="I15">
        <v>40</v>
      </c>
      <c r="J15">
        <v>280.43</v>
      </c>
      <c r="K15">
        <v>60.56</v>
      </c>
      <c r="L15">
        <v>4.25</v>
      </c>
      <c r="M15">
        <v>38</v>
      </c>
      <c r="N15">
        <v>75.62</v>
      </c>
      <c r="O15">
        <v>34820.269999999997</v>
      </c>
      <c r="P15">
        <v>226.67</v>
      </c>
      <c r="Q15">
        <v>988.19</v>
      </c>
      <c r="R15">
        <v>62.12</v>
      </c>
      <c r="S15">
        <v>35.43</v>
      </c>
      <c r="T15">
        <v>12170.49</v>
      </c>
      <c r="U15">
        <v>0.56999999999999995</v>
      </c>
      <c r="V15">
        <v>0.84</v>
      </c>
      <c r="W15">
        <v>3.03</v>
      </c>
      <c r="X15">
        <v>0.78</v>
      </c>
      <c r="Y15">
        <v>1</v>
      </c>
      <c r="Z15">
        <v>10</v>
      </c>
    </row>
    <row r="16" spans="1:26" x14ac:dyDescent="0.3">
      <c r="A16">
        <v>14</v>
      </c>
      <c r="B16">
        <v>140</v>
      </c>
      <c r="C16" t="s">
        <v>26</v>
      </c>
      <c r="D16">
        <v>5.4618000000000002</v>
      </c>
      <c r="E16">
        <v>18.309999999999999</v>
      </c>
      <c r="F16">
        <v>13.48</v>
      </c>
      <c r="G16">
        <v>21.85</v>
      </c>
      <c r="H16">
        <v>0.28999999999999998</v>
      </c>
      <c r="I16">
        <v>37</v>
      </c>
      <c r="J16">
        <v>280.92</v>
      </c>
      <c r="K16">
        <v>60.56</v>
      </c>
      <c r="L16">
        <v>4.5</v>
      </c>
      <c r="M16">
        <v>35</v>
      </c>
      <c r="N16">
        <v>75.87</v>
      </c>
      <c r="O16">
        <v>34881.089999999997</v>
      </c>
      <c r="P16">
        <v>225.13</v>
      </c>
      <c r="Q16">
        <v>988.17</v>
      </c>
      <c r="R16">
        <v>60.19</v>
      </c>
      <c r="S16">
        <v>35.43</v>
      </c>
      <c r="T16">
        <v>11220.82</v>
      </c>
      <c r="U16">
        <v>0.59</v>
      </c>
      <c r="V16">
        <v>0.85</v>
      </c>
      <c r="W16">
        <v>3.02</v>
      </c>
      <c r="X16">
        <v>0.72</v>
      </c>
      <c r="Y16">
        <v>1</v>
      </c>
      <c r="Z16">
        <v>10</v>
      </c>
    </row>
    <row r="17" spans="1:26" x14ac:dyDescent="0.3">
      <c r="A17">
        <v>15</v>
      </c>
      <c r="B17">
        <v>140</v>
      </c>
      <c r="C17" t="s">
        <v>26</v>
      </c>
      <c r="D17">
        <v>5.508</v>
      </c>
      <c r="E17">
        <v>18.16</v>
      </c>
      <c r="F17">
        <v>13.43</v>
      </c>
      <c r="G17">
        <v>23.02</v>
      </c>
      <c r="H17">
        <v>0.3</v>
      </c>
      <c r="I17">
        <v>35</v>
      </c>
      <c r="J17">
        <v>281.41000000000003</v>
      </c>
      <c r="K17">
        <v>60.56</v>
      </c>
      <c r="L17">
        <v>4.75</v>
      </c>
      <c r="M17">
        <v>33</v>
      </c>
      <c r="N17">
        <v>76.11</v>
      </c>
      <c r="O17">
        <v>34942.019999999997</v>
      </c>
      <c r="P17">
        <v>223.81</v>
      </c>
      <c r="Q17">
        <v>988.13</v>
      </c>
      <c r="R17">
        <v>58.61</v>
      </c>
      <c r="S17">
        <v>35.43</v>
      </c>
      <c r="T17">
        <v>10439.129999999999</v>
      </c>
      <c r="U17">
        <v>0.6</v>
      </c>
      <c r="V17">
        <v>0.85</v>
      </c>
      <c r="W17">
        <v>3.02</v>
      </c>
      <c r="X17">
        <v>0.67</v>
      </c>
      <c r="Y17">
        <v>1</v>
      </c>
      <c r="Z17">
        <v>10</v>
      </c>
    </row>
    <row r="18" spans="1:26" x14ac:dyDescent="0.3">
      <c r="A18">
        <v>16</v>
      </c>
      <c r="B18">
        <v>140</v>
      </c>
      <c r="C18" t="s">
        <v>26</v>
      </c>
      <c r="D18">
        <v>5.5507999999999997</v>
      </c>
      <c r="E18">
        <v>18.02</v>
      </c>
      <c r="F18">
        <v>13.39</v>
      </c>
      <c r="G18">
        <v>24.35</v>
      </c>
      <c r="H18">
        <v>0.32</v>
      </c>
      <c r="I18">
        <v>33</v>
      </c>
      <c r="J18">
        <v>281.91000000000003</v>
      </c>
      <c r="K18">
        <v>60.56</v>
      </c>
      <c r="L18">
        <v>5</v>
      </c>
      <c r="M18">
        <v>31</v>
      </c>
      <c r="N18">
        <v>76.349999999999994</v>
      </c>
      <c r="O18">
        <v>35003.040000000001</v>
      </c>
      <c r="P18">
        <v>222.23</v>
      </c>
      <c r="Q18">
        <v>988.14</v>
      </c>
      <c r="R18">
        <v>57.89</v>
      </c>
      <c r="S18">
        <v>35.43</v>
      </c>
      <c r="T18">
        <v>10093.15</v>
      </c>
      <c r="U18">
        <v>0.61</v>
      </c>
      <c r="V18">
        <v>0.85</v>
      </c>
      <c r="W18">
        <v>3.01</v>
      </c>
      <c r="X18">
        <v>0.64</v>
      </c>
      <c r="Y18">
        <v>1</v>
      </c>
      <c r="Z18">
        <v>10</v>
      </c>
    </row>
    <row r="19" spans="1:26" x14ac:dyDescent="0.3">
      <c r="A19">
        <v>17</v>
      </c>
      <c r="B19">
        <v>140</v>
      </c>
      <c r="C19" t="s">
        <v>26</v>
      </c>
      <c r="D19">
        <v>5.5712999999999999</v>
      </c>
      <c r="E19">
        <v>17.95</v>
      </c>
      <c r="F19">
        <v>13.38</v>
      </c>
      <c r="G19">
        <v>25.08</v>
      </c>
      <c r="H19">
        <v>0.33</v>
      </c>
      <c r="I19">
        <v>32</v>
      </c>
      <c r="J19">
        <v>282.39999999999998</v>
      </c>
      <c r="K19">
        <v>60.56</v>
      </c>
      <c r="L19">
        <v>5.25</v>
      </c>
      <c r="M19">
        <v>30</v>
      </c>
      <c r="N19">
        <v>76.599999999999994</v>
      </c>
      <c r="O19">
        <v>35064.15</v>
      </c>
      <c r="P19">
        <v>221.38</v>
      </c>
      <c r="Q19">
        <v>988.31</v>
      </c>
      <c r="R19">
        <v>57.24</v>
      </c>
      <c r="S19">
        <v>35.43</v>
      </c>
      <c r="T19">
        <v>9770.8700000000008</v>
      </c>
      <c r="U19">
        <v>0.62</v>
      </c>
      <c r="V19">
        <v>0.85</v>
      </c>
      <c r="W19">
        <v>3.01</v>
      </c>
      <c r="X19">
        <v>0.62</v>
      </c>
      <c r="Y19">
        <v>1</v>
      </c>
      <c r="Z19">
        <v>10</v>
      </c>
    </row>
    <row r="20" spans="1:26" x14ac:dyDescent="0.3">
      <c r="A20">
        <v>18</v>
      </c>
      <c r="B20">
        <v>140</v>
      </c>
      <c r="C20" t="s">
        <v>26</v>
      </c>
      <c r="D20">
        <v>5.6153000000000004</v>
      </c>
      <c r="E20">
        <v>17.809999999999999</v>
      </c>
      <c r="F20">
        <v>13.34</v>
      </c>
      <c r="G20">
        <v>26.68</v>
      </c>
      <c r="H20">
        <v>0.35</v>
      </c>
      <c r="I20">
        <v>30</v>
      </c>
      <c r="J20">
        <v>282.89999999999998</v>
      </c>
      <c r="K20">
        <v>60.56</v>
      </c>
      <c r="L20">
        <v>5.5</v>
      </c>
      <c r="M20">
        <v>28</v>
      </c>
      <c r="N20">
        <v>76.849999999999994</v>
      </c>
      <c r="O20">
        <v>35125.370000000003</v>
      </c>
      <c r="P20">
        <v>220.49</v>
      </c>
      <c r="Q20">
        <v>988.21</v>
      </c>
      <c r="R20">
        <v>55.87</v>
      </c>
      <c r="S20">
        <v>35.43</v>
      </c>
      <c r="T20">
        <v>9097.92</v>
      </c>
      <c r="U20">
        <v>0.63</v>
      </c>
      <c r="V20">
        <v>0.85</v>
      </c>
      <c r="W20">
        <v>3.02</v>
      </c>
      <c r="X20">
        <v>0.59</v>
      </c>
      <c r="Y20">
        <v>1</v>
      </c>
      <c r="Z20">
        <v>10</v>
      </c>
    </row>
    <row r="21" spans="1:26" x14ac:dyDescent="0.3">
      <c r="A21">
        <v>19</v>
      </c>
      <c r="B21">
        <v>140</v>
      </c>
      <c r="C21" t="s">
        <v>26</v>
      </c>
      <c r="D21">
        <v>5.6406999999999998</v>
      </c>
      <c r="E21">
        <v>17.73</v>
      </c>
      <c r="F21">
        <v>13.31</v>
      </c>
      <c r="G21">
        <v>27.54</v>
      </c>
      <c r="H21">
        <v>0.36</v>
      </c>
      <c r="I21">
        <v>29</v>
      </c>
      <c r="J21">
        <v>283.39999999999998</v>
      </c>
      <c r="K21">
        <v>60.56</v>
      </c>
      <c r="L21">
        <v>5.75</v>
      </c>
      <c r="M21">
        <v>27</v>
      </c>
      <c r="N21">
        <v>77.09</v>
      </c>
      <c r="O21">
        <v>35186.68</v>
      </c>
      <c r="P21">
        <v>219.35</v>
      </c>
      <c r="Q21">
        <v>988.09</v>
      </c>
      <c r="R21">
        <v>55.31</v>
      </c>
      <c r="S21">
        <v>35.43</v>
      </c>
      <c r="T21">
        <v>8822.82</v>
      </c>
      <c r="U21">
        <v>0.64</v>
      </c>
      <c r="V21">
        <v>0.86</v>
      </c>
      <c r="W21">
        <v>3</v>
      </c>
      <c r="X21">
        <v>0.56000000000000005</v>
      </c>
      <c r="Y21">
        <v>1</v>
      </c>
      <c r="Z21">
        <v>10</v>
      </c>
    </row>
    <row r="22" spans="1:26" x14ac:dyDescent="0.3">
      <c r="A22">
        <v>20</v>
      </c>
      <c r="B22">
        <v>140</v>
      </c>
      <c r="C22" t="s">
        <v>26</v>
      </c>
      <c r="D22">
        <v>5.6543999999999999</v>
      </c>
      <c r="E22">
        <v>17.690000000000001</v>
      </c>
      <c r="F22">
        <v>13.32</v>
      </c>
      <c r="G22">
        <v>28.55</v>
      </c>
      <c r="H22">
        <v>0.38</v>
      </c>
      <c r="I22">
        <v>28</v>
      </c>
      <c r="J22">
        <v>283.89999999999998</v>
      </c>
      <c r="K22">
        <v>60.56</v>
      </c>
      <c r="L22">
        <v>6</v>
      </c>
      <c r="M22">
        <v>26</v>
      </c>
      <c r="N22">
        <v>77.34</v>
      </c>
      <c r="O22">
        <v>35248.1</v>
      </c>
      <c r="P22">
        <v>218.92</v>
      </c>
      <c r="Q22">
        <v>988.38</v>
      </c>
      <c r="R22">
        <v>55.39</v>
      </c>
      <c r="S22">
        <v>35.43</v>
      </c>
      <c r="T22">
        <v>8865.49</v>
      </c>
      <c r="U22">
        <v>0.64</v>
      </c>
      <c r="V22">
        <v>0.86</v>
      </c>
      <c r="W22">
        <v>3.01</v>
      </c>
      <c r="X22">
        <v>0.56999999999999995</v>
      </c>
      <c r="Y22">
        <v>1</v>
      </c>
      <c r="Z22">
        <v>10</v>
      </c>
    </row>
    <row r="23" spans="1:26" x14ac:dyDescent="0.3">
      <c r="A23">
        <v>21</v>
      </c>
      <c r="B23">
        <v>140</v>
      </c>
      <c r="C23" t="s">
        <v>26</v>
      </c>
      <c r="D23">
        <v>5.7098000000000004</v>
      </c>
      <c r="E23">
        <v>17.510000000000002</v>
      </c>
      <c r="F23">
        <v>13.25</v>
      </c>
      <c r="G23">
        <v>30.59</v>
      </c>
      <c r="H23">
        <v>0.39</v>
      </c>
      <c r="I23">
        <v>26</v>
      </c>
      <c r="J23">
        <v>284.39999999999998</v>
      </c>
      <c r="K23">
        <v>60.56</v>
      </c>
      <c r="L23">
        <v>6.25</v>
      </c>
      <c r="M23">
        <v>24</v>
      </c>
      <c r="N23">
        <v>77.59</v>
      </c>
      <c r="O23">
        <v>35309.61</v>
      </c>
      <c r="P23">
        <v>217</v>
      </c>
      <c r="Q23">
        <v>988.17</v>
      </c>
      <c r="R23">
        <v>53.3</v>
      </c>
      <c r="S23">
        <v>35.43</v>
      </c>
      <c r="T23">
        <v>7831.69</v>
      </c>
      <c r="U23">
        <v>0.66</v>
      </c>
      <c r="V23">
        <v>0.86</v>
      </c>
      <c r="W23">
        <v>3.01</v>
      </c>
      <c r="X23">
        <v>0.5</v>
      </c>
      <c r="Y23">
        <v>1</v>
      </c>
      <c r="Z23">
        <v>10</v>
      </c>
    </row>
    <row r="24" spans="1:26" x14ac:dyDescent="0.3">
      <c r="A24">
        <v>22</v>
      </c>
      <c r="B24">
        <v>140</v>
      </c>
      <c r="C24" t="s">
        <v>26</v>
      </c>
      <c r="D24">
        <v>5.7323000000000004</v>
      </c>
      <c r="E24">
        <v>17.440000000000001</v>
      </c>
      <c r="F24">
        <v>13.24</v>
      </c>
      <c r="G24">
        <v>31.77</v>
      </c>
      <c r="H24">
        <v>0.41</v>
      </c>
      <c r="I24">
        <v>25</v>
      </c>
      <c r="J24">
        <v>284.89</v>
      </c>
      <c r="K24">
        <v>60.56</v>
      </c>
      <c r="L24">
        <v>6.5</v>
      </c>
      <c r="M24">
        <v>23</v>
      </c>
      <c r="N24">
        <v>77.84</v>
      </c>
      <c r="O24">
        <v>35371.22</v>
      </c>
      <c r="P24">
        <v>216.34</v>
      </c>
      <c r="Q24">
        <v>988.28</v>
      </c>
      <c r="R24">
        <v>52.86</v>
      </c>
      <c r="S24">
        <v>35.43</v>
      </c>
      <c r="T24">
        <v>7617.83</v>
      </c>
      <c r="U24">
        <v>0.67</v>
      </c>
      <c r="V24">
        <v>0.86</v>
      </c>
      <c r="W24">
        <v>3</v>
      </c>
      <c r="X24">
        <v>0.48</v>
      </c>
      <c r="Y24">
        <v>1</v>
      </c>
      <c r="Z24">
        <v>10</v>
      </c>
    </row>
    <row r="25" spans="1:26" x14ac:dyDescent="0.3">
      <c r="A25">
        <v>23</v>
      </c>
      <c r="B25">
        <v>140</v>
      </c>
      <c r="C25" t="s">
        <v>26</v>
      </c>
      <c r="D25">
        <v>5.7603</v>
      </c>
      <c r="E25">
        <v>17.36</v>
      </c>
      <c r="F25">
        <v>13.21</v>
      </c>
      <c r="G25">
        <v>33.01</v>
      </c>
      <c r="H25">
        <v>0.42</v>
      </c>
      <c r="I25">
        <v>24</v>
      </c>
      <c r="J25">
        <v>285.39</v>
      </c>
      <c r="K25">
        <v>60.56</v>
      </c>
      <c r="L25">
        <v>6.75</v>
      </c>
      <c r="M25">
        <v>22</v>
      </c>
      <c r="N25">
        <v>78.09</v>
      </c>
      <c r="O25">
        <v>35432.93</v>
      </c>
      <c r="P25">
        <v>215.08</v>
      </c>
      <c r="Q25">
        <v>988.11</v>
      </c>
      <c r="R25">
        <v>51.85</v>
      </c>
      <c r="S25">
        <v>35.43</v>
      </c>
      <c r="T25">
        <v>7115.11</v>
      </c>
      <c r="U25">
        <v>0.68</v>
      </c>
      <c r="V25">
        <v>0.86</v>
      </c>
      <c r="W25">
        <v>3</v>
      </c>
      <c r="X25">
        <v>0.45</v>
      </c>
      <c r="Y25">
        <v>1</v>
      </c>
      <c r="Z25">
        <v>10</v>
      </c>
    </row>
    <row r="26" spans="1:26" x14ac:dyDescent="0.3">
      <c r="A26">
        <v>24</v>
      </c>
      <c r="B26">
        <v>140</v>
      </c>
      <c r="C26" t="s">
        <v>26</v>
      </c>
      <c r="D26">
        <v>5.7777000000000003</v>
      </c>
      <c r="E26">
        <v>17.309999999999999</v>
      </c>
      <c r="F26">
        <v>13.21</v>
      </c>
      <c r="G26">
        <v>34.450000000000003</v>
      </c>
      <c r="H26">
        <v>0.44</v>
      </c>
      <c r="I26">
        <v>23</v>
      </c>
      <c r="J26">
        <v>285.89999999999998</v>
      </c>
      <c r="K26">
        <v>60.56</v>
      </c>
      <c r="L26">
        <v>7</v>
      </c>
      <c r="M26">
        <v>21</v>
      </c>
      <c r="N26">
        <v>78.34</v>
      </c>
      <c r="O26">
        <v>35494.74</v>
      </c>
      <c r="P26">
        <v>214.5</v>
      </c>
      <c r="Q26">
        <v>988.12</v>
      </c>
      <c r="R26">
        <v>51.61</v>
      </c>
      <c r="S26">
        <v>35.43</v>
      </c>
      <c r="T26">
        <v>7000.67</v>
      </c>
      <c r="U26">
        <v>0.69</v>
      </c>
      <c r="V26">
        <v>0.86</v>
      </c>
      <c r="W26">
        <v>3.01</v>
      </c>
      <c r="X26">
        <v>0.45</v>
      </c>
      <c r="Y26">
        <v>1</v>
      </c>
      <c r="Z26">
        <v>10</v>
      </c>
    </row>
    <row r="27" spans="1:26" x14ac:dyDescent="0.3">
      <c r="A27">
        <v>25</v>
      </c>
      <c r="B27">
        <v>140</v>
      </c>
      <c r="C27" t="s">
        <v>26</v>
      </c>
      <c r="D27">
        <v>5.7794999999999996</v>
      </c>
      <c r="E27">
        <v>17.3</v>
      </c>
      <c r="F27">
        <v>13.2</v>
      </c>
      <c r="G27">
        <v>34.44</v>
      </c>
      <c r="H27">
        <v>0.45</v>
      </c>
      <c r="I27">
        <v>23</v>
      </c>
      <c r="J27">
        <v>286.39999999999998</v>
      </c>
      <c r="K27">
        <v>60.56</v>
      </c>
      <c r="L27">
        <v>7.25</v>
      </c>
      <c r="M27">
        <v>21</v>
      </c>
      <c r="N27">
        <v>78.59</v>
      </c>
      <c r="O27">
        <v>35556.78</v>
      </c>
      <c r="P27">
        <v>213.77</v>
      </c>
      <c r="Q27">
        <v>988.08</v>
      </c>
      <c r="R27">
        <v>51.64</v>
      </c>
      <c r="S27">
        <v>35.43</v>
      </c>
      <c r="T27">
        <v>7014.9</v>
      </c>
      <c r="U27">
        <v>0.69</v>
      </c>
      <c r="V27">
        <v>0.86</v>
      </c>
      <c r="W27">
        <v>3</v>
      </c>
      <c r="X27">
        <v>0.45</v>
      </c>
      <c r="Y27">
        <v>1</v>
      </c>
      <c r="Z27">
        <v>10</v>
      </c>
    </row>
    <row r="28" spans="1:26" x14ac:dyDescent="0.3">
      <c r="A28">
        <v>26</v>
      </c>
      <c r="B28">
        <v>140</v>
      </c>
      <c r="C28" t="s">
        <v>26</v>
      </c>
      <c r="D28">
        <v>5.8075999999999999</v>
      </c>
      <c r="E28">
        <v>17.22</v>
      </c>
      <c r="F28">
        <v>13.17</v>
      </c>
      <c r="G28">
        <v>35.92</v>
      </c>
      <c r="H28">
        <v>0.47</v>
      </c>
      <c r="I28">
        <v>22</v>
      </c>
      <c r="J28">
        <v>286.89999999999998</v>
      </c>
      <c r="K28">
        <v>60.56</v>
      </c>
      <c r="L28">
        <v>7.5</v>
      </c>
      <c r="M28">
        <v>20</v>
      </c>
      <c r="N28">
        <v>78.849999999999994</v>
      </c>
      <c r="O28">
        <v>35618.800000000003</v>
      </c>
      <c r="P28">
        <v>212.81</v>
      </c>
      <c r="Q28">
        <v>988.32</v>
      </c>
      <c r="R28">
        <v>50.84</v>
      </c>
      <c r="S28">
        <v>35.43</v>
      </c>
      <c r="T28">
        <v>6621.45</v>
      </c>
      <c r="U28">
        <v>0.7</v>
      </c>
      <c r="V28">
        <v>0.87</v>
      </c>
      <c r="W28">
        <v>3</v>
      </c>
      <c r="X28">
        <v>0.41</v>
      </c>
      <c r="Y28">
        <v>1</v>
      </c>
      <c r="Z28">
        <v>10</v>
      </c>
    </row>
    <row r="29" spans="1:26" x14ac:dyDescent="0.3">
      <c r="A29">
        <v>27</v>
      </c>
      <c r="B29">
        <v>140</v>
      </c>
      <c r="C29" t="s">
        <v>26</v>
      </c>
      <c r="D29">
        <v>5.8273000000000001</v>
      </c>
      <c r="E29">
        <v>17.16</v>
      </c>
      <c r="F29">
        <v>13.16</v>
      </c>
      <c r="G29">
        <v>37.61</v>
      </c>
      <c r="H29">
        <v>0.48</v>
      </c>
      <c r="I29">
        <v>21</v>
      </c>
      <c r="J29">
        <v>287.41000000000003</v>
      </c>
      <c r="K29">
        <v>60.56</v>
      </c>
      <c r="L29">
        <v>7.75</v>
      </c>
      <c r="M29">
        <v>19</v>
      </c>
      <c r="N29">
        <v>79.099999999999994</v>
      </c>
      <c r="O29">
        <v>35680.92</v>
      </c>
      <c r="P29">
        <v>211.94</v>
      </c>
      <c r="Q29">
        <v>988.08</v>
      </c>
      <c r="R29">
        <v>50.59</v>
      </c>
      <c r="S29">
        <v>35.43</v>
      </c>
      <c r="T29">
        <v>6499.28</v>
      </c>
      <c r="U29">
        <v>0.7</v>
      </c>
      <c r="V29">
        <v>0.87</v>
      </c>
      <c r="W29">
        <v>3</v>
      </c>
      <c r="X29">
        <v>0.41</v>
      </c>
      <c r="Y29">
        <v>1</v>
      </c>
      <c r="Z29">
        <v>10</v>
      </c>
    </row>
    <row r="30" spans="1:26" x14ac:dyDescent="0.3">
      <c r="A30">
        <v>28</v>
      </c>
      <c r="B30">
        <v>140</v>
      </c>
      <c r="C30" t="s">
        <v>26</v>
      </c>
      <c r="D30">
        <v>5.8541999999999996</v>
      </c>
      <c r="E30">
        <v>17.079999999999998</v>
      </c>
      <c r="F30">
        <v>13.14</v>
      </c>
      <c r="G30">
        <v>39.409999999999997</v>
      </c>
      <c r="H30">
        <v>0.49</v>
      </c>
      <c r="I30">
        <v>20</v>
      </c>
      <c r="J30">
        <v>287.91000000000003</v>
      </c>
      <c r="K30">
        <v>60.56</v>
      </c>
      <c r="L30">
        <v>8</v>
      </c>
      <c r="M30">
        <v>18</v>
      </c>
      <c r="N30">
        <v>79.36</v>
      </c>
      <c r="O30">
        <v>35743.15</v>
      </c>
      <c r="P30">
        <v>211.17</v>
      </c>
      <c r="Q30">
        <v>988.1</v>
      </c>
      <c r="R30">
        <v>49.4</v>
      </c>
      <c r="S30">
        <v>35.43</v>
      </c>
      <c r="T30">
        <v>5909.97</v>
      </c>
      <c r="U30">
        <v>0.72</v>
      </c>
      <c r="V30">
        <v>0.87</v>
      </c>
      <c r="W30">
        <v>3</v>
      </c>
      <c r="X30">
        <v>0.38</v>
      </c>
      <c r="Y30">
        <v>1</v>
      </c>
      <c r="Z30">
        <v>10</v>
      </c>
    </row>
    <row r="31" spans="1:26" x14ac:dyDescent="0.3">
      <c r="A31">
        <v>29</v>
      </c>
      <c r="B31">
        <v>140</v>
      </c>
      <c r="C31" t="s">
        <v>26</v>
      </c>
      <c r="D31">
        <v>5.859</v>
      </c>
      <c r="E31">
        <v>17.07</v>
      </c>
      <c r="F31">
        <v>13.12</v>
      </c>
      <c r="G31">
        <v>39.369999999999997</v>
      </c>
      <c r="H31">
        <v>0.51</v>
      </c>
      <c r="I31">
        <v>20</v>
      </c>
      <c r="J31">
        <v>288.42</v>
      </c>
      <c r="K31">
        <v>60.56</v>
      </c>
      <c r="L31">
        <v>8.25</v>
      </c>
      <c r="M31">
        <v>18</v>
      </c>
      <c r="N31">
        <v>79.61</v>
      </c>
      <c r="O31">
        <v>35805.480000000003</v>
      </c>
      <c r="P31">
        <v>210.23</v>
      </c>
      <c r="Q31">
        <v>988.09</v>
      </c>
      <c r="R31">
        <v>49.03</v>
      </c>
      <c r="S31">
        <v>35.43</v>
      </c>
      <c r="T31">
        <v>5727.81</v>
      </c>
      <c r="U31">
        <v>0.72</v>
      </c>
      <c r="V31">
        <v>0.87</v>
      </c>
      <c r="W31">
        <v>3</v>
      </c>
      <c r="X31">
        <v>0.37</v>
      </c>
      <c r="Y31">
        <v>1</v>
      </c>
      <c r="Z31">
        <v>10</v>
      </c>
    </row>
    <row r="32" spans="1:26" x14ac:dyDescent="0.3">
      <c r="A32">
        <v>30</v>
      </c>
      <c r="B32">
        <v>140</v>
      </c>
      <c r="C32" t="s">
        <v>26</v>
      </c>
      <c r="D32">
        <v>5.8803999999999998</v>
      </c>
      <c r="E32">
        <v>17.010000000000002</v>
      </c>
      <c r="F32">
        <v>13.11</v>
      </c>
      <c r="G32">
        <v>41.41</v>
      </c>
      <c r="H32">
        <v>0.52</v>
      </c>
      <c r="I32">
        <v>19</v>
      </c>
      <c r="J32">
        <v>288.92</v>
      </c>
      <c r="K32">
        <v>60.56</v>
      </c>
      <c r="L32">
        <v>8.5</v>
      </c>
      <c r="M32">
        <v>17</v>
      </c>
      <c r="N32">
        <v>79.87</v>
      </c>
      <c r="O32">
        <v>35867.910000000003</v>
      </c>
      <c r="P32">
        <v>209.45</v>
      </c>
      <c r="Q32">
        <v>988.23</v>
      </c>
      <c r="R32">
        <v>48.74</v>
      </c>
      <c r="S32">
        <v>35.43</v>
      </c>
      <c r="T32">
        <v>5588.15</v>
      </c>
      <c r="U32">
        <v>0.73</v>
      </c>
      <c r="V32">
        <v>0.87</v>
      </c>
      <c r="W32">
        <v>3</v>
      </c>
      <c r="X32">
        <v>0.36</v>
      </c>
      <c r="Y32">
        <v>1</v>
      </c>
      <c r="Z32">
        <v>10</v>
      </c>
    </row>
    <row r="33" spans="1:26" x14ac:dyDescent="0.3">
      <c r="A33">
        <v>31</v>
      </c>
      <c r="B33">
        <v>140</v>
      </c>
      <c r="C33" t="s">
        <v>26</v>
      </c>
      <c r="D33">
        <v>5.8785999999999996</v>
      </c>
      <c r="E33">
        <v>17.010000000000002</v>
      </c>
      <c r="F33">
        <v>13.12</v>
      </c>
      <c r="G33">
        <v>41.42</v>
      </c>
      <c r="H33">
        <v>0.54</v>
      </c>
      <c r="I33">
        <v>19</v>
      </c>
      <c r="J33">
        <v>289.43</v>
      </c>
      <c r="K33">
        <v>60.56</v>
      </c>
      <c r="L33">
        <v>8.75</v>
      </c>
      <c r="M33">
        <v>17</v>
      </c>
      <c r="N33">
        <v>80.12</v>
      </c>
      <c r="O33">
        <v>35930.44</v>
      </c>
      <c r="P33">
        <v>208.45</v>
      </c>
      <c r="Q33">
        <v>988.14</v>
      </c>
      <c r="R33">
        <v>49.02</v>
      </c>
      <c r="S33">
        <v>35.43</v>
      </c>
      <c r="T33">
        <v>5724.27</v>
      </c>
      <c r="U33">
        <v>0.72</v>
      </c>
      <c r="V33">
        <v>0.87</v>
      </c>
      <c r="W33">
        <v>3</v>
      </c>
      <c r="X33">
        <v>0.36</v>
      </c>
      <c r="Y33">
        <v>1</v>
      </c>
      <c r="Z33">
        <v>10</v>
      </c>
    </row>
    <row r="34" spans="1:26" x14ac:dyDescent="0.3">
      <c r="A34">
        <v>32</v>
      </c>
      <c r="B34">
        <v>140</v>
      </c>
      <c r="C34" t="s">
        <v>26</v>
      </c>
      <c r="D34">
        <v>5.9046000000000003</v>
      </c>
      <c r="E34">
        <v>16.940000000000001</v>
      </c>
      <c r="F34">
        <v>13.09</v>
      </c>
      <c r="G34">
        <v>43.65</v>
      </c>
      <c r="H34">
        <v>0.55000000000000004</v>
      </c>
      <c r="I34">
        <v>18</v>
      </c>
      <c r="J34">
        <v>289.94</v>
      </c>
      <c r="K34">
        <v>60.56</v>
      </c>
      <c r="L34">
        <v>9</v>
      </c>
      <c r="M34">
        <v>16</v>
      </c>
      <c r="N34">
        <v>80.38</v>
      </c>
      <c r="O34">
        <v>35993.08</v>
      </c>
      <c r="P34">
        <v>208.12</v>
      </c>
      <c r="Q34">
        <v>988.11</v>
      </c>
      <c r="R34">
        <v>48.21</v>
      </c>
      <c r="S34">
        <v>35.43</v>
      </c>
      <c r="T34">
        <v>5325.67</v>
      </c>
      <c r="U34">
        <v>0.74</v>
      </c>
      <c r="V34">
        <v>0.87</v>
      </c>
      <c r="W34">
        <v>3</v>
      </c>
      <c r="X34">
        <v>0.34</v>
      </c>
      <c r="Y34">
        <v>1</v>
      </c>
      <c r="Z34">
        <v>10</v>
      </c>
    </row>
    <row r="35" spans="1:26" x14ac:dyDescent="0.3">
      <c r="A35">
        <v>33</v>
      </c>
      <c r="B35">
        <v>140</v>
      </c>
      <c r="C35" t="s">
        <v>26</v>
      </c>
      <c r="D35">
        <v>5.9284999999999997</v>
      </c>
      <c r="E35">
        <v>16.87</v>
      </c>
      <c r="F35">
        <v>13.08</v>
      </c>
      <c r="G35">
        <v>46.16</v>
      </c>
      <c r="H35">
        <v>0.56999999999999995</v>
      </c>
      <c r="I35">
        <v>17</v>
      </c>
      <c r="J35">
        <v>290.45</v>
      </c>
      <c r="K35">
        <v>60.56</v>
      </c>
      <c r="L35">
        <v>9.25</v>
      </c>
      <c r="M35">
        <v>15</v>
      </c>
      <c r="N35">
        <v>80.64</v>
      </c>
      <c r="O35">
        <v>36055.83</v>
      </c>
      <c r="P35">
        <v>205.77</v>
      </c>
      <c r="Q35">
        <v>988.15</v>
      </c>
      <c r="R35">
        <v>47.7</v>
      </c>
      <c r="S35">
        <v>35.43</v>
      </c>
      <c r="T35">
        <v>5074.6400000000003</v>
      </c>
      <c r="U35">
        <v>0.74</v>
      </c>
      <c r="V35">
        <v>0.87</v>
      </c>
      <c r="W35">
        <v>3</v>
      </c>
      <c r="X35">
        <v>0.32</v>
      </c>
      <c r="Y35">
        <v>1</v>
      </c>
      <c r="Z35">
        <v>10</v>
      </c>
    </row>
    <row r="36" spans="1:26" x14ac:dyDescent="0.3">
      <c r="A36">
        <v>34</v>
      </c>
      <c r="B36">
        <v>140</v>
      </c>
      <c r="C36" t="s">
        <v>26</v>
      </c>
      <c r="D36">
        <v>5.9290000000000003</v>
      </c>
      <c r="E36">
        <v>16.87</v>
      </c>
      <c r="F36">
        <v>13.08</v>
      </c>
      <c r="G36">
        <v>46.15</v>
      </c>
      <c r="H36">
        <v>0.57999999999999996</v>
      </c>
      <c r="I36">
        <v>17</v>
      </c>
      <c r="J36">
        <v>290.95999999999998</v>
      </c>
      <c r="K36">
        <v>60.56</v>
      </c>
      <c r="L36">
        <v>9.5</v>
      </c>
      <c r="M36">
        <v>15</v>
      </c>
      <c r="N36">
        <v>80.900000000000006</v>
      </c>
      <c r="O36">
        <v>36118.68</v>
      </c>
      <c r="P36">
        <v>205.66</v>
      </c>
      <c r="Q36">
        <v>988.09</v>
      </c>
      <c r="R36">
        <v>47.66</v>
      </c>
      <c r="S36">
        <v>35.43</v>
      </c>
      <c r="T36">
        <v>5056.33</v>
      </c>
      <c r="U36">
        <v>0.74</v>
      </c>
      <c r="V36">
        <v>0.87</v>
      </c>
      <c r="W36">
        <v>3</v>
      </c>
      <c r="X36">
        <v>0.32</v>
      </c>
      <c r="Y36">
        <v>1</v>
      </c>
      <c r="Z36">
        <v>10</v>
      </c>
    </row>
    <row r="37" spans="1:26" x14ac:dyDescent="0.3">
      <c r="A37">
        <v>35</v>
      </c>
      <c r="B37">
        <v>140</v>
      </c>
      <c r="C37" t="s">
        <v>26</v>
      </c>
      <c r="D37">
        <v>5.9291999999999998</v>
      </c>
      <c r="E37">
        <v>16.87</v>
      </c>
      <c r="F37">
        <v>13.08</v>
      </c>
      <c r="G37">
        <v>46.15</v>
      </c>
      <c r="H37">
        <v>0.6</v>
      </c>
      <c r="I37">
        <v>17</v>
      </c>
      <c r="J37">
        <v>291.47000000000003</v>
      </c>
      <c r="K37">
        <v>60.56</v>
      </c>
      <c r="L37">
        <v>9.75</v>
      </c>
      <c r="M37">
        <v>15</v>
      </c>
      <c r="N37">
        <v>81.16</v>
      </c>
      <c r="O37">
        <v>36181.64</v>
      </c>
      <c r="P37">
        <v>204.94</v>
      </c>
      <c r="Q37">
        <v>988.11</v>
      </c>
      <c r="R37">
        <v>47.64</v>
      </c>
      <c r="S37">
        <v>35.43</v>
      </c>
      <c r="T37">
        <v>5047.6099999999997</v>
      </c>
      <c r="U37">
        <v>0.74</v>
      </c>
      <c r="V37">
        <v>0.87</v>
      </c>
      <c r="W37">
        <v>3</v>
      </c>
      <c r="X37">
        <v>0.32</v>
      </c>
      <c r="Y37">
        <v>1</v>
      </c>
      <c r="Z37">
        <v>10</v>
      </c>
    </row>
    <row r="38" spans="1:26" x14ac:dyDescent="0.3">
      <c r="A38">
        <v>36</v>
      </c>
      <c r="B38">
        <v>140</v>
      </c>
      <c r="C38" t="s">
        <v>26</v>
      </c>
      <c r="D38">
        <v>5.9554999999999998</v>
      </c>
      <c r="E38">
        <v>16.79</v>
      </c>
      <c r="F38">
        <v>13.05</v>
      </c>
      <c r="G38">
        <v>48.95</v>
      </c>
      <c r="H38">
        <v>0.61</v>
      </c>
      <c r="I38">
        <v>16</v>
      </c>
      <c r="J38">
        <v>291.98</v>
      </c>
      <c r="K38">
        <v>60.56</v>
      </c>
      <c r="L38">
        <v>10</v>
      </c>
      <c r="M38">
        <v>14</v>
      </c>
      <c r="N38">
        <v>81.42</v>
      </c>
      <c r="O38">
        <v>36244.71</v>
      </c>
      <c r="P38">
        <v>204.65</v>
      </c>
      <c r="Q38">
        <v>988.12</v>
      </c>
      <c r="R38">
        <v>47.1</v>
      </c>
      <c r="S38">
        <v>35.43</v>
      </c>
      <c r="T38">
        <v>4782.05</v>
      </c>
      <c r="U38">
        <v>0.75</v>
      </c>
      <c r="V38">
        <v>0.87</v>
      </c>
      <c r="W38">
        <v>2.99</v>
      </c>
      <c r="X38">
        <v>0.3</v>
      </c>
      <c r="Y38">
        <v>1</v>
      </c>
      <c r="Z38">
        <v>10</v>
      </c>
    </row>
    <row r="39" spans="1:26" x14ac:dyDescent="0.3">
      <c r="A39">
        <v>37</v>
      </c>
      <c r="B39">
        <v>140</v>
      </c>
      <c r="C39" t="s">
        <v>26</v>
      </c>
      <c r="D39">
        <v>5.9497999999999998</v>
      </c>
      <c r="E39">
        <v>16.809999999999999</v>
      </c>
      <c r="F39">
        <v>13.07</v>
      </c>
      <c r="G39">
        <v>49.01</v>
      </c>
      <c r="H39">
        <v>0.62</v>
      </c>
      <c r="I39">
        <v>16</v>
      </c>
      <c r="J39">
        <v>292.49</v>
      </c>
      <c r="K39">
        <v>60.56</v>
      </c>
      <c r="L39">
        <v>10.25</v>
      </c>
      <c r="M39">
        <v>14</v>
      </c>
      <c r="N39">
        <v>81.680000000000007</v>
      </c>
      <c r="O39">
        <v>36307.879999999997</v>
      </c>
      <c r="P39">
        <v>203.98</v>
      </c>
      <c r="Q39">
        <v>988.24</v>
      </c>
      <c r="R39">
        <v>47.45</v>
      </c>
      <c r="S39">
        <v>35.43</v>
      </c>
      <c r="T39">
        <v>4957.43</v>
      </c>
      <c r="U39">
        <v>0.75</v>
      </c>
      <c r="V39">
        <v>0.87</v>
      </c>
      <c r="W39">
        <v>3</v>
      </c>
      <c r="X39">
        <v>0.32</v>
      </c>
      <c r="Y39">
        <v>1</v>
      </c>
      <c r="Z39">
        <v>10</v>
      </c>
    </row>
    <row r="40" spans="1:26" x14ac:dyDescent="0.3">
      <c r="A40">
        <v>38</v>
      </c>
      <c r="B40">
        <v>140</v>
      </c>
      <c r="C40" t="s">
        <v>26</v>
      </c>
      <c r="D40">
        <v>5.9798999999999998</v>
      </c>
      <c r="E40">
        <v>16.72</v>
      </c>
      <c r="F40">
        <v>13.04</v>
      </c>
      <c r="G40">
        <v>52.15</v>
      </c>
      <c r="H40">
        <v>0.64</v>
      </c>
      <c r="I40">
        <v>15</v>
      </c>
      <c r="J40">
        <v>293</v>
      </c>
      <c r="K40">
        <v>60.56</v>
      </c>
      <c r="L40">
        <v>10.5</v>
      </c>
      <c r="M40">
        <v>13</v>
      </c>
      <c r="N40">
        <v>81.95</v>
      </c>
      <c r="O40">
        <v>36371.17</v>
      </c>
      <c r="P40">
        <v>202.95</v>
      </c>
      <c r="Q40">
        <v>988.09</v>
      </c>
      <c r="R40">
        <v>46.8</v>
      </c>
      <c r="S40">
        <v>35.43</v>
      </c>
      <c r="T40">
        <v>4638.49</v>
      </c>
      <c r="U40">
        <v>0.76</v>
      </c>
      <c r="V40">
        <v>0.87</v>
      </c>
      <c r="W40">
        <v>2.98</v>
      </c>
      <c r="X40">
        <v>0.28000000000000003</v>
      </c>
      <c r="Y40">
        <v>1</v>
      </c>
      <c r="Z40">
        <v>10</v>
      </c>
    </row>
    <row r="41" spans="1:26" x14ac:dyDescent="0.3">
      <c r="A41">
        <v>39</v>
      </c>
      <c r="B41">
        <v>140</v>
      </c>
      <c r="C41" t="s">
        <v>26</v>
      </c>
      <c r="D41">
        <v>5.9806999999999997</v>
      </c>
      <c r="E41">
        <v>16.72</v>
      </c>
      <c r="F41">
        <v>13.04</v>
      </c>
      <c r="G41">
        <v>52.14</v>
      </c>
      <c r="H41">
        <v>0.65</v>
      </c>
      <c r="I41">
        <v>15</v>
      </c>
      <c r="J41">
        <v>293.52</v>
      </c>
      <c r="K41">
        <v>60.56</v>
      </c>
      <c r="L41">
        <v>10.75</v>
      </c>
      <c r="M41">
        <v>13</v>
      </c>
      <c r="N41">
        <v>82.21</v>
      </c>
      <c r="O41">
        <v>36434.559999999998</v>
      </c>
      <c r="P41">
        <v>202.37</v>
      </c>
      <c r="Q41">
        <v>988.11</v>
      </c>
      <c r="R41">
        <v>46.53</v>
      </c>
      <c r="S41">
        <v>35.43</v>
      </c>
      <c r="T41">
        <v>4499.8100000000004</v>
      </c>
      <c r="U41">
        <v>0.76</v>
      </c>
      <c r="V41">
        <v>0.87</v>
      </c>
      <c r="W41">
        <v>2.99</v>
      </c>
      <c r="X41">
        <v>0.28000000000000003</v>
      </c>
      <c r="Y41">
        <v>1</v>
      </c>
      <c r="Z41">
        <v>10</v>
      </c>
    </row>
    <row r="42" spans="1:26" x14ac:dyDescent="0.3">
      <c r="A42">
        <v>40</v>
      </c>
      <c r="B42">
        <v>140</v>
      </c>
      <c r="C42" t="s">
        <v>26</v>
      </c>
      <c r="D42">
        <v>5.9785000000000004</v>
      </c>
      <c r="E42">
        <v>16.73</v>
      </c>
      <c r="F42">
        <v>13.04</v>
      </c>
      <c r="G42">
        <v>52.17</v>
      </c>
      <c r="H42">
        <v>0.67</v>
      </c>
      <c r="I42">
        <v>15</v>
      </c>
      <c r="J42">
        <v>294.02999999999997</v>
      </c>
      <c r="K42">
        <v>60.56</v>
      </c>
      <c r="L42">
        <v>11</v>
      </c>
      <c r="M42">
        <v>13</v>
      </c>
      <c r="N42">
        <v>82.48</v>
      </c>
      <c r="O42">
        <v>36498.06</v>
      </c>
      <c r="P42">
        <v>201.32</v>
      </c>
      <c r="Q42">
        <v>988.17</v>
      </c>
      <c r="R42">
        <v>46.77</v>
      </c>
      <c r="S42">
        <v>35.43</v>
      </c>
      <c r="T42">
        <v>4619.54</v>
      </c>
      <c r="U42">
        <v>0.76</v>
      </c>
      <c r="V42">
        <v>0.87</v>
      </c>
      <c r="W42">
        <v>2.99</v>
      </c>
      <c r="X42">
        <v>0.28999999999999998</v>
      </c>
      <c r="Y42">
        <v>1</v>
      </c>
      <c r="Z42">
        <v>10</v>
      </c>
    </row>
    <row r="43" spans="1:26" x14ac:dyDescent="0.3">
      <c r="A43">
        <v>41</v>
      </c>
      <c r="B43">
        <v>140</v>
      </c>
      <c r="C43" t="s">
        <v>26</v>
      </c>
      <c r="D43">
        <v>6.0091999999999999</v>
      </c>
      <c r="E43">
        <v>16.64</v>
      </c>
      <c r="F43">
        <v>13.01</v>
      </c>
      <c r="G43">
        <v>55.75</v>
      </c>
      <c r="H43">
        <v>0.68</v>
      </c>
      <c r="I43">
        <v>14</v>
      </c>
      <c r="J43">
        <v>294.55</v>
      </c>
      <c r="K43">
        <v>60.56</v>
      </c>
      <c r="L43">
        <v>11.25</v>
      </c>
      <c r="M43">
        <v>12</v>
      </c>
      <c r="N43">
        <v>82.74</v>
      </c>
      <c r="O43">
        <v>36561.67</v>
      </c>
      <c r="P43">
        <v>200.58</v>
      </c>
      <c r="Q43">
        <v>988.13</v>
      </c>
      <c r="R43">
        <v>45.57</v>
      </c>
      <c r="S43">
        <v>35.43</v>
      </c>
      <c r="T43">
        <v>4027.15</v>
      </c>
      <c r="U43">
        <v>0.78</v>
      </c>
      <c r="V43">
        <v>0.88</v>
      </c>
      <c r="W43">
        <v>2.99</v>
      </c>
      <c r="X43">
        <v>0.25</v>
      </c>
      <c r="Y43">
        <v>1</v>
      </c>
      <c r="Z43">
        <v>10</v>
      </c>
    </row>
    <row r="44" spans="1:26" x14ac:dyDescent="0.3">
      <c r="A44">
        <v>42</v>
      </c>
      <c r="B44">
        <v>140</v>
      </c>
      <c r="C44" t="s">
        <v>26</v>
      </c>
      <c r="D44">
        <v>6.0092999999999996</v>
      </c>
      <c r="E44">
        <v>16.64</v>
      </c>
      <c r="F44">
        <v>13.01</v>
      </c>
      <c r="G44">
        <v>55.75</v>
      </c>
      <c r="H44">
        <v>0.69</v>
      </c>
      <c r="I44">
        <v>14</v>
      </c>
      <c r="J44">
        <v>295.06</v>
      </c>
      <c r="K44">
        <v>60.56</v>
      </c>
      <c r="L44">
        <v>11.5</v>
      </c>
      <c r="M44">
        <v>12</v>
      </c>
      <c r="N44">
        <v>83.01</v>
      </c>
      <c r="O44">
        <v>36625.39</v>
      </c>
      <c r="P44">
        <v>200.21</v>
      </c>
      <c r="Q44">
        <v>988.13</v>
      </c>
      <c r="R44">
        <v>45.67</v>
      </c>
      <c r="S44">
        <v>35.43</v>
      </c>
      <c r="T44">
        <v>4075.16</v>
      </c>
      <c r="U44">
        <v>0.78</v>
      </c>
      <c r="V44">
        <v>0.88</v>
      </c>
      <c r="W44">
        <v>2.99</v>
      </c>
      <c r="X44">
        <v>0.25</v>
      </c>
      <c r="Y44">
        <v>1</v>
      </c>
      <c r="Z44">
        <v>10</v>
      </c>
    </row>
    <row r="45" spans="1:26" x14ac:dyDescent="0.3">
      <c r="A45">
        <v>43</v>
      </c>
      <c r="B45">
        <v>140</v>
      </c>
      <c r="C45" t="s">
        <v>26</v>
      </c>
      <c r="D45">
        <v>6.0121000000000002</v>
      </c>
      <c r="E45">
        <v>16.63</v>
      </c>
      <c r="F45">
        <v>13</v>
      </c>
      <c r="G45">
        <v>55.72</v>
      </c>
      <c r="H45">
        <v>0.71</v>
      </c>
      <c r="I45">
        <v>14</v>
      </c>
      <c r="J45">
        <v>295.58</v>
      </c>
      <c r="K45">
        <v>60.56</v>
      </c>
      <c r="L45">
        <v>11.75</v>
      </c>
      <c r="M45">
        <v>12</v>
      </c>
      <c r="N45">
        <v>83.28</v>
      </c>
      <c r="O45">
        <v>36689.22</v>
      </c>
      <c r="P45">
        <v>198.58</v>
      </c>
      <c r="Q45">
        <v>988.09</v>
      </c>
      <c r="R45">
        <v>45.43</v>
      </c>
      <c r="S45">
        <v>35.43</v>
      </c>
      <c r="T45">
        <v>3953.83</v>
      </c>
      <c r="U45">
        <v>0.78</v>
      </c>
      <c r="V45">
        <v>0.88</v>
      </c>
      <c r="W45">
        <v>2.98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140</v>
      </c>
      <c r="C46" t="s">
        <v>26</v>
      </c>
      <c r="D46">
        <v>6.0327999999999999</v>
      </c>
      <c r="E46">
        <v>16.579999999999998</v>
      </c>
      <c r="F46">
        <v>13</v>
      </c>
      <c r="G46">
        <v>59.98</v>
      </c>
      <c r="H46">
        <v>0.72</v>
      </c>
      <c r="I46">
        <v>13</v>
      </c>
      <c r="J46">
        <v>296.10000000000002</v>
      </c>
      <c r="K46">
        <v>60.56</v>
      </c>
      <c r="L46">
        <v>12</v>
      </c>
      <c r="M46">
        <v>11</v>
      </c>
      <c r="N46">
        <v>83.54</v>
      </c>
      <c r="O46">
        <v>36753.160000000003</v>
      </c>
      <c r="P46">
        <v>198.27</v>
      </c>
      <c r="Q46">
        <v>988.09</v>
      </c>
      <c r="R46">
        <v>45.33</v>
      </c>
      <c r="S46">
        <v>35.43</v>
      </c>
      <c r="T46">
        <v>3909.85</v>
      </c>
      <c r="U46">
        <v>0.78</v>
      </c>
      <c r="V46">
        <v>0.88</v>
      </c>
      <c r="W46">
        <v>2.98</v>
      </c>
      <c r="X46">
        <v>0.24</v>
      </c>
      <c r="Y46">
        <v>1</v>
      </c>
      <c r="Z46">
        <v>10</v>
      </c>
    </row>
    <row r="47" spans="1:26" x14ac:dyDescent="0.3">
      <c r="A47">
        <v>45</v>
      </c>
      <c r="B47">
        <v>140</v>
      </c>
      <c r="C47" t="s">
        <v>26</v>
      </c>
      <c r="D47">
        <v>6.0327000000000002</v>
      </c>
      <c r="E47">
        <v>16.579999999999998</v>
      </c>
      <c r="F47">
        <v>13</v>
      </c>
      <c r="G47">
        <v>59.98</v>
      </c>
      <c r="H47">
        <v>0.74</v>
      </c>
      <c r="I47">
        <v>13</v>
      </c>
      <c r="J47">
        <v>296.62</v>
      </c>
      <c r="K47">
        <v>60.56</v>
      </c>
      <c r="L47">
        <v>12.25</v>
      </c>
      <c r="M47">
        <v>11</v>
      </c>
      <c r="N47">
        <v>83.81</v>
      </c>
      <c r="O47">
        <v>36817.22</v>
      </c>
      <c r="P47">
        <v>197.49</v>
      </c>
      <c r="Q47">
        <v>988.11</v>
      </c>
      <c r="R47">
        <v>45.29</v>
      </c>
      <c r="S47">
        <v>35.43</v>
      </c>
      <c r="T47">
        <v>3891.35</v>
      </c>
      <c r="U47">
        <v>0.78</v>
      </c>
      <c r="V47">
        <v>0.88</v>
      </c>
      <c r="W47">
        <v>2.99</v>
      </c>
      <c r="X47">
        <v>0.24</v>
      </c>
      <c r="Y47">
        <v>1</v>
      </c>
      <c r="Z47">
        <v>10</v>
      </c>
    </row>
    <row r="48" spans="1:26" x14ac:dyDescent="0.3">
      <c r="A48">
        <v>46</v>
      </c>
      <c r="B48">
        <v>140</v>
      </c>
      <c r="C48" t="s">
        <v>26</v>
      </c>
      <c r="D48">
        <v>6.0350999999999999</v>
      </c>
      <c r="E48">
        <v>16.57</v>
      </c>
      <c r="F48">
        <v>12.99</v>
      </c>
      <c r="G48">
        <v>59.95</v>
      </c>
      <c r="H48">
        <v>0.75</v>
      </c>
      <c r="I48">
        <v>13</v>
      </c>
      <c r="J48">
        <v>297.14</v>
      </c>
      <c r="K48">
        <v>60.56</v>
      </c>
      <c r="L48">
        <v>12.5</v>
      </c>
      <c r="M48">
        <v>11</v>
      </c>
      <c r="N48">
        <v>84.08</v>
      </c>
      <c r="O48">
        <v>36881.39</v>
      </c>
      <c r="P48">
        <v>196.91</v>
      </c>
      <c r="Q48">
        <v>988.09</v>
      </c>
      <c r="R48">
        <v>44.99</v>
      </c>
      <c r="S48">
        <v>35.43</v>
      </c>
      <c r="T48">
        <v>3743.14</v>
      </c>
      <c r="U48">
        <v>0.79</v>
      </c>
      <c r="V48">
        <v>0.88</v>
      </c>
      <c r="W48">
        <v>2.99</v>
      </c>
      <c r="X48">
        <v>0.24</v>
      </c>
      <c r="Y48">
        <v>1</v>
      </c>
      <c r="Z48">
        <v>10</v>
      </c>
    </row>
    <row r="49" spans="1:26" x14ac:dyDescent="0.3">
      <c r="A49">
        <v>47</v>
      </c>
      <c r="B49">
        <v>140</v>
      </c>
      <c r="C49" t="s">
        <v>26</v>
      </c>
      <c r="D49">
        <v>6.0606</v>
      </c>
      <c r="E49">
        <v>16.5</v>
      </c>
      <c r="F49">
        <v>12.97</v>
      </c>
      <c r="G49">
        <v>64.86</v>
      </c>
      <c r="H49">
        <v>0.76</v>
      </c>
      <c r="I49">
        <v>12</v>
      </c>
      <c r="J49">
        <v>297.66000000000003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195.05</v>
      </c>
      <c r="Q49">
        <v>988.11</v>
      </c>
      <c r="R49">
        <v>44.5</v>
      </c>
      <c r="S49">
        <v>35.43</v>
      </c>
      <c r="T49">
        <v>3503.44</v>
      </c>
      <c r="U49">
        <v>0.8</v>
      </c>
      <c r="V49">
        <v>0.88</v>
      </c>
      <c r="W49">
        <v>2.99</v>
      </c>
      <c r="X49">
        <v>0.22</v>
      </c>
      <c r="Y49">
        <v>1</v>
      </c>
      <c r="Z49">
        <v>10</v>
      </c>
    </row>
    <row r="50" spans="1:26" x14ac:dyDescent="0.3">
      <c r="A50">
        <v>48</v>
      </c>
      <c r="B50">
        <v>140</v>
      </c>
      <c r="C50" t="s">
        <v>26</v>
      </c>
      <c r="D50">
        <v>6.0613999999999999</v>
      </c>
      <c r="E50">
        <v>16.5</v>
      </c>
      <c r="F50">
        <v>12.97</v>
      </c>
      <c r="G50">
        <v>64.849999999999994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194.77</v>
      </c>
      <c r="Q50">
        <v>988.09</v>
      </c>
      <c r="R50">
        <v>44.42</v>
      </c>
      <c r="S50">
        <v>35.43</v>
      </c>
      <c r="T50">
        <v>3463.04</v>
      </c>
      <c r="U50">
        <v>0.8</v>
      </c>
      <c r="V50">
        <v>0.88</v>
      </c>
      <c r="W50">
        <v>2.99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140</v>
      </c>
      <c r="C51" t="s">
        <v>26</v>
      </c>
      <c r="D51">
        <v>6.0620000000000003</v>
      </c>
      <c r="E51">
        <v>16.5</v>
      </c>
      <c r="F51">
        <v>12.97</v>
      </c>
      <c r="G51">
        <v>64.84</v>
      </c>
      <c r="H51">
        <v>0.79</v>
      </c>
      <c r="I51">
        <v>12</v>
      </c>
      <c r="J51">
        <v>298.70999999999998</v>
      </c>
      <c r="K51">
        <v>60.56</v>
      </c>
      <c r="L51">
        <v>13.25</v>
      </c>
      <c r="M51">
        <v>10</v>
      </c>
      <c r="N51">
        <v>84.9</v>
      </c>
      <c r="O51">
        <v>37074.57</v>
      </c>
      <c r="P51">
        <v>194.44</v>
      </c>
      <c r="Q51">
        <v>988.12</v>
      </c>
      <c r="R51">
        <v>44.38</v>
      </c>
      <c r="S51">
        <v>35.43</v>
      </c>
      <c r="T51">
        <v>3439.59</v>
      </c>
      <c r="U51">
        <v>0.8</v>
      </c>
      <c r="V51">
        <v>0.88</v>
      </c>
      <c r="W51">
        <v>2.98</v>
      </c>
      <c r="X51">
        <v>0.21</v>
      </c>
      <c r="Y51">
        <v>1</v>
      </c>
      <c r="Z51">
        <v>10</v>
      </c>
    </row>
    <row r="52" spans="1:26" x14ac:dyDescent="0.3">
      <c r="A52">
        <v>50</v>
      </c>
      <c r="B52">
        <v>140</v>
      </c>
      <c r="C52" t="s">
        <v>26</v>
      </c>
      <c r="D52">
        <v>6.0617000000000001</v>
      </c>
      <c r="E52">
        <v>16.5</v>
      </c>
      <c r="F52">
        <v>12.97</v>
      </c>
      <c r="G52">
        <v>64.849999999999994</v>
      </c>
      <c r="H52">
        <v>0.8</v>
      </c>
      <c r="I52">
        <v>12</v>
      </c>
      <c r="J52">
        <v>299.23</v>
      </c>
      <c r="K52">
        <v>60.56</v>
      </c>
      <c r="L52">
        <v>13.5</v>
      </c>
      <c r="M52">
        <v>10</v>
      </c>
      <c r="N52">
        <v>85.18</v>
      </c>
      <c r="O52">
        <v>37139.199999999997</v>
      </c>
      <c r="P52">
        <v>193.31</v>
      </c>
      <c r="Q52">
        <v>988.09</v>
      </c>
      <c r="R52">
        <v>44.51</v>
      </c>
      <c r="S52">
        <v>35.43</v>
      </c>
      <c r="T52">
        <v>3506.4</v>
      </c>
      <c r="U52">
        <v>0.8</v>
      </c>
      <c r="V52">
        <v>0.88</v>
      </c>
      <c r="W52">
        <v>2.98</v>
      </c>
      <c r="X52">
        <v>0.22</v>
      </c>
      <c r="Y52">
        <v>1</v>
      </c>
      <c r="Z52">
        <v>10</v>
      </c>
    </row>
    <row r="53" spans="1:26" x14ac:dyDescent="0.3">
      <c r="A53">
        <v>51</v>
      </c>
      <c r="B53">
        <v>140</v>
      </c>
      <c r="C53" t="s">
        <v>26</v>
      </c>
      <c r="D53">
        <v>6.0873999999999997</v>
      </c>
      <c r="E53">
        <v>16.43</v>
      </c>
      <c r="F53">
        <v>12.95</v>
      </c>
      <c r="G53">
        <v>70.650000000000006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192.1</v>
      </c>
      <c r="Q53">
        <v>988.08</v>
      </c>
      <c r="R53">
        <v>43.86</v>
      </c>
      <c r="S53">
        <v>35.43</v>
      </c>
      <c r="T53">
        <v>3185.86</v>
      </c>
      <c r="U53">
        <v>0.81</v>
      </c>
      <c r="V53">
        <v>0.88</v>
      </c>
      <c r="W53">
        <v>2.98</v>
      </c>
      <c r="X53">
        <v>0.2</v>
      </c>
      <c r="Y53">
        <v>1</v>
      </c>
      <c r="Z53">
        <v>10</v>
      </c>
    </row>
    <row r="54" spans="1:26" x14ac:dyDescent="0.3">
      <c r="A54">
        <v>52</v>
      </c>
      <c r="B54">
        <v>140</v>
      </c>
      <c r="C54" t="s">
        <v>26</v>
      </c>
      <c r="D54">
        <v>6.085</v>
      </c>
      <c r="E54">
        <v>16.43</v>
      </c>
      <c r="F54">
        <v>12.96</v>
      </c>
      <c r="G54">
        <v>70.680000000000007</v>
      </c>
      <c r="H54">
        <v>0.83</v>
      </c>
      <c r="I54">
        <v>11</v>
      </c>
      <c r="J54">
        <v>300.27999999999997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191.97</v>
      </c>
      <c r="Q54">
        <v>988.08</v>
      </c>
      <c r="R54">
        <v>44.19</v>
      </c>
      <c r="S54">
        <v>35.43</v>
      </c>
      <c r="T54">
        <v>3348.87</v>
      </c>
      <c r="U54">
        <v>0.8</v>
      </c>
      <c r="V54">
        <v>0.88</v>
      </c>
      <c r="W54">
        <v>2.98</v>
      </c>
      <c r="X54">
        <v>0.2</v>
      </c>
      <c r="Y54">
        <v>1</v>
      </c>
      <c r="Z54">
        <v>10</v>
      </c>
    </row>
    <row r="55" spans="1:26" x14ac:dyDescent="0.3">
      <c r="A55">
        <v>53</v>
      </c>
      <c r="B55">
        <v>140</v>
      </c>
      <c r="C55" t="s">
        <v>26</v>
      </c>
      <c r="D55">
        <v>6.0885999999999996</v>
      </c>
      <c r="E55">
        <v>16.420000000000002</v>
      </c>
      <c r="F55">
        <v>12.95</v>
      </c>
      <c r="G55">
        <v>70.63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191.53</v>
      </c>
      <c r="Q55">
        <v>988.1</v>
      </c>
      <c r="R55">
        <v>43.81</v>
      </c>
      <c r="S55">
        <v>35.43</v>
      </c>
      <c r="T55">
        <v>3162.68</v>
      </c>
      <c r="U55">
        <v>0.81</v>
      </c>
      <c r="V55">
        <v>0.88</v>
      </c>
      <c r="W55">
        <v>2.98</v>
      </c>
      <c r="X55">
        <v>0.2</v>
      </c>
      <c r="Y55">
        <v>1</v>
      </c>
      <c r="Z55">
        <v>10</v>
      </c>
    </row>
    <row r="56" spans="1:26" x14ac:dyDescent="0.3">
      <c r="A56">
        <v>54</v>
      </c>
      <c r="B56">
        <v>140</v>
      </c>
      <c r="C56" t="s">
        <v>26</v>
      </c>
      <c r="D56">
        <v>6.09</v>
      </c>
      <c r="E56">
        <v>16.420000000000002</v>
      </c>
      <c r="F56">
        <v>12.94</v>
      </c>
      <c r="G56">
        <v>70.61</v>
      </c>
      <c r="H56">
        <v>0.86</v>
      </c>
      <c r="I56">
        <v>11</v>
      </c>
      <c r="J56">
        <v>301.33999999999997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190.55</v>
      </c>
      <c r="Q56">
        <v>988.08</v>
      </c>
      <c r="R56">
        <v>43.83</v>
      </c>
      <c r="S56">
        <v>35.43</v>
      </c>
      <c r="T56">
        <v>3171.67</v>
      </c>
      <c r="U56">
        <v>0.81</v>
      </c>
      <c r="V56">
        <v>0.88</v>
      </c>
      <c r="W56">
        <v>2.98</v>
      </c>
      <c r="X56">
        <v>0.19</v>
      </c>
      <c r="Y56">
        <v>1</v>
      </c>
      <c r="Z56">
        <v>10</v>
      </c>
    </row>
    <row r="57" spans="1:26" x14ac:dyDescent="0.3">
      <c r="A57">
        <v>55</v>
      </c>
      <c r="B57">
        <v>140</v>
      </c>
      <c r="C57" t="s">
        <v>26</v>
      </c>
      <c r="D57">
        <v>6.0898000000000003</v>
      </c>
      <c r="E57">
        <v>16.420000000000002</v>
      </c>
      <c r="F57">
        <v>12.95</v>
      </c>
      <c r="G57">
        <v>70.61</v>
      </c>
      <c r="H57">
        <v>0.87</v>
      </c>
      <c r="I57">
        <v>11</v>
      </c>
      <c r="J57">
        <v>301.86</v>
      </c>
      <c r="K57">
        <v>60.56</v>
      </c>
      <c r="L57">
        <v>14.75</v>
      </c>
      <c r="M57">
        <v>9</v>
      </c>
      <c r="N57">
        <v>86.56</v>
      </c>
      <c r="O57">
        <v>37464.21</v>
      </c>
      <c r="P57">
        <v>189.42</v>
      </c>
      <c r="Q57">
        <v>988.15</v>
      </c>
      <c r="R57">
        <v>43.8</v>
      </c>
      <c r="S57">
        <v>35.43</v>
      </c>
      <c r="T57">
        <v>3157.91</v>
      </c>
      <c r="U57">
        <v>0.81</v>
      </c>
      <c r="V57">
        <v>0.88</v>
      </c>
      <c r="W57">
        <v>2.98</v>
      </c>
      <c r="X57">
        <v>0.19</v>
      </c>
      <c r="Y57">
        <v>1</v>
      </c>
      <c r="Z57">
        <v>10</v>
      </c>
    </row>
    <row r="58" spans="1:26" x14ac:dyDescent="0.3">
      <c r="A58">
        <v>56</v>
      </c>
      <c r="B58">
        <v>140</v>
      </c>
      <c r="C58" t="s">
        <v>26</v>
      </c>
      <c r="D58">
        <v>6.1155999999999997</v>
      </c>
      <c r="E58">
        <v>16.350000000000001</v>
      </c>
      <c r="F58">
        <v>12.93</v>
      </c>
      <c r="G58">
        <v>77.569999999999993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37529.550000000003</v>
      </c>
      <c r="P58">
        <v>187.7</v>
      </c>
      <c r="Q58">
        <v>988.08</v>
      </c>
      <c r="R58">
        <v>43.04</v>
      </c>
      <c r="S58">
        <v>35.43</v>
      </c>
      <c r="T58">
        <v>2780.17</v>
      </c>
      <c r="U58">
        <v>0.82</v>
      </c>
      <c r="V58">
        <v>0.88</v>
      </c>
      <c r="W58">
        <v>2.98</v>
      </c>
      <c r="X58">
        <v>0.17</v>
      </c>
      <c r="Y58">
        <v>1</v>
      </c>
      <c r="Z58">
        <v>10</v>
      </c>
    </row>
    <row r="59" spans="1:26" x14ac:dyDescent="0.3">
      <c r="A59">
        <v>57</v>
      </c>
      <c r="B59">
        <v>140</v>
      </c>
      <c r="C59" t="s">
        <v>26</v>
      </c>
      <c r="D59">
        <v>6.1113999999999997</v>
      </c>
      <c r="E59">
        <v>16.36</v>
      </c>
      <c r="F59">
        <v>12.94</v>
      </c>
      <c r="G59">
        <v>77.64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187.14</v>
      </c>
      <c r="Q59">
        <v>988.18</v>
      </c>
      <c r="R59">
        <v>43.59</v>
      </c>
      <c r="S59">
        <v>35.43</v>
      </c>
      <c r="T59">
        <v>3056.51</v>
      </c>
      <c r="U59">
        <v>0.81</v>
      </c>
      <c r="V59">
        <v>0.88</v>
      </c>
      <c r="W59">
        <v>2.98</v>
      </c>
      <c r="X59">
        <v>0.19</v>
      </c>
      <c r="Y59">
        <v>1</v>
      </c>
      <c r="Z59">
        <v>10</v>
      </c>
    </row>
    <row r="60" spans="1:26" x14ac:dyDescent="0.3">
      <c r="A60">
        <v>58</v>
      </c>
      <c r="B60">
        <v>140</v>
      </c>
      <c r="C60" t="s">
        <v>26</v>
      </c>
      <c r="D60">
        <v>6.1163999999999996</v>
      </c>
      <c r="E60">
        <v>16.350000000000001</v>
      </c>
      <c r="F60">
        <v>12.93</v>
      </c>
      <c r="G60">
        <v>77.56</v>
      </c>
      <c r="H60">
        <v>0.91</v>
      </c>
      <c r="I60">
        <v>10</v>
      </c>
      <c r="J60">
        <v>303.45999999999998</v>
      </c>
      <c r="K60">
        <v>60.56</v>
      </c>
      <c r="L60">
        <v>15.5</v>
      </c>
      <c r="M60">
        <v>8</v>
      </c>
      <c r="N60">
        <v>87.4</v>
      </c>
      <c r="O60">
        <v>37660.57</v>
      </c>
      <c r="P60">
        <v>185.94</v>
      </c>
      <c r="Q60">
        <v>988.1</v>
      </c>
      <c r="R60">
        <v>43.13</v>
      </c>
      <c r="S60">
        <v>35.43</v>
      </c>
      <c r="T60">
        <v>2824.6</v>
      </c>
      <c r="U60">
        <v>0.82</v>
      </c>
      <c r="V60">
        <v>0.88</v>
      </c>
      <c r="W60">
        <v>2.98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140</v>
      </c>
      <c r="C61" t="s">
        <v>26</v>
      </c>
      <c r="D61">
        <v>6.1143999999999998</v>
      </c>
      <c r="E61">
        <v>16.350000000000001</v>
      </c>
      <c r="F61">
        <v>12.93</v>
      </c>
      <c r="G61">
        <v>77.59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</v>
      </c>
      <c r="O61">
        <v>37726.269999999997</v>
      </c>
      <c r="P61">
        <v>186.15</v>
      </c>
      <c r="Q61">
        <v>988.12</v>
      </c>
      <c r="R61">
        <v>43.16</v>
      </c>
      <c r="S61">
        <v>35.43</v>
      </c>
      <c r="T61">
        <v>2842.71</v>
      </c>
      <c r="U61">
        <v>0.82</v>
      </c>
      <c r="V61">
        <v>0.88</v>
      </c>
      <c r="W61">
        <v>2.98</v>
      </c>
      <c r="X61">
        <v>0.18</v>
      </c>
      <c r="Y61">
        <v>1</v>
      </c>
      <c r="Z61">
        <v>10</v>
      </c>
    </row>
    <row r="62" spans="1:26" x14ac:dyDescent="0.3">
      <c r="A62">
        <v>60</v>
      </c>
      <c r="B62">
        <v>140</v>
      </c>
      <c r="C62" t="s">
        <v>26</v>
      </c>
      <c r="D62">
        <v>6.1131000000000002</v>
      </c>
      <c r="E62">
        <v>16.36</v>
      </c>
      <c r="F62">
        <v>12.94</v>
      </c>
      <c r="G62">
        <v>77.61</v>
      </c>
      <c r="H62">
        <v>0.94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37792.080000000002</v>
      </c>
      <c r="P62">
        <v>185.14</v>
      </c>
      <c r="Q62">
        <v>988.08</v>
      </c>
      <c r="R62">
        <v>43.37</v>
      </c>
      <c r="S62">
        <v>35.43</v>
      </c>
      <c r="T62">
        <v>2947.3</v>
      </c>
      <c r="U62">
        <v>0.82</v>
      </c>
      <c r="V62">
        <v>0.88</v>
      </c>
      <c r="W62">
        <v>2.98</v>
      </c>
      <c r="X62">
        <v>0.18</v>
      </c>
      <c r="Y62">
        <v>1</v>
      </c>
      <c r="Z62">
        <v>10</v>
      </c>
    </row>
    <row r="63" spans="1:26" x14ac:dyDescent="0.3">
      <c r="A63">
        <v>61</v>
      </c>
      <c r="B63">
        <v>140</v>
      </c>
      <c r="C63" t="s">
        <v>26</v>
      </c>
      <c r="D63">
        <v>6.1151999999999997</v>
      </c>
      <c r="E63">
        <v>16.350000000000001</v>
      </c>
      <c r="F63">
        <v>12.93</v>
      </c>
      <c r="G63">
        <v>77.58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37858.019999999997</v>
      </c>
      <c r="P63">
        <v>184.14</v>
      </c>
      <c r="Q63">
        <v>988.1</v>
      </c>
      <c r="R63">
        <v>43.25</v>
      </c>
      <c r="S63">
        <v>35.43</v>
      </c>
      <c r="T63">
        <v>2886.65</v>
      </c>
      <c r="U63">
        <v>0.82</v>
      </c>
      <c r="V63">
        <v>0.88</v>
      </c>
      <c r="W63">
        <v>2.98</v>
      </c>
      <c r="X63">
        <v>0.18</v>
      </c>
      <c r="Y63">
        <v>1</v>
      </c>
      <c r="Z63">
        <v>10</v>
      </c>
    </row>
    <row r="64" spans="1:26" x14ac:dyDescent="0.3">
      <c r="A64">
        <v>62</v>
      </c>
      <c r="B64">
        <v>140</v>
      </c>
      <c r="C64" t="s">
        <v>26</v>
      </c>
      <c r="D64">
        <v>6.1388999999999996</v>
      </c>
      <c r="E64">
        <v>16.29</v>
      </c>
      <c r="F64">
        <v>12.92</v>
      </c>
      <c r="G64">
        <v>86.12</v>
      </c>
      <c r="H64">
        <v>0.96</v>
      </c>
      <c r="I64">
        <v>9</v>
      </c>
      <c r="J64">
        <v>305.58999999999997</v>
      </c>
      <c r="K64">
        <v>60.56</v>
      </c>
      <c r="L64">
        <v>16.5</v>
      </c>
      <c r="M64">
        <v>7</v>
      </c>
      <c r="N64">
        <v>88.54</v>
      </c>
      <c r="O64">
        <v>37924.080000000002</v>
      </c>
      <c r="P64">
        <v>183.05</v>
      </c>
      <c r="Q64">
        <v>988.11</v>
      </c>
      <c r="R64">
        <v>42.83</v>
      </c>
      <c r="S64">
        <v>35.43</v>
      </c>
      <c r="T64">
        <v>2678.61</v>
      </c>
      <c r="U64">
        <v>0.83</v>
      </c>
      <c r="V64">
        <v>0.88</v>
      </c>
      <c r="W64">
        <v>2.98</v>
      </c>
      <c r="X64">
        <v>0.16</v>
      </c>
      <c r="Y64">
        <v>1</v>
      </c>
      <c r="Z64">
        <v>10</v>
      </c>
    </row>
    <row r="65" spans="1:26" x14ac:dyDescent="0.3">
      <c r="A65">
        <v>63</v>
      </c>
      <c r="B65">
        <v>140</v>
      </c>
      <c r="C65" t="s">
        <v>26</v>
      </c>
      <c r="D65">
        <v>6.1402000000000001</v>
      </c>
      <c r="E65">
        <v>16.29</v>
      </c>
      <c r="F65">
        <v>12.91</v>
      </c>
      <c r="G65">
        <v>86.1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37990.269999999997</v>
      </c>
      <c r="P65">
        <v>183.25</v>
      </c>
      <c r="Q65">
        <v>988.08</v>
      </c>
      <c r="R65">
        <v>42.84</v>
      </c>
      <c r="S65">
        <v>35.43</v>
      </c>
      <c r="T65">
        <v>2685.46</v>
      </c>
      <c r="U65">
        <v>0.83</v>
      </c>
      <c r="V65">
        <v>0.88</v>
      </c>
      <c r="W65">
        <v>2.98</v>
      </c>
      <c r="X65">
        <v>0.16</v>
      </c>
      <c r="Y65">
        <v>1</v>
      </c>
      <c r="Z65">
        <v>10</v>
      </c>
    </row>
    <row r="66" spans="1:26" x14ac:dyDescent="0.3">
      <c r="A66">
        <v>64</v>
      </c>
      <c r="B66">
        <v>140</v>
      </c>
      <c r="C66" t="s">
        <v>26</v>
      </c>
      <c r="D66">
        <v>6.1394000000000002</v>
      </c>
      <c r="E66">
        <v>16.29</v>
      </c>
      <c r="F66">
        <v>12.92</v>
      </c>
      <c r="G66">
        <v>86.11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183.08</v>
      </c>
      <c r="Q66">
        <v>988.08</v>
      </c>
      <c r="R66">
        <v>42.88</v>
      </c>
      <c r="S66">
        <v>35.43</v>
      </c>
      <c r="T66">
        <v>2707.13</v>
      </c>
      <c r="U66">
        <v>0.83</v>
      </c>
      <c r="V66">
        <v>0.88</v>
      </c>
      <c r="W66">
        <v>2.98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140</v>
      </c>
      <c r="C67" t="s">
        <v>26</v>
      </c>
      <c r="D67">
        <v>6.1410999999999998</v>
      </c>
      <c r="E67">
        <v>16.28</v>
      </c>
      <c r="F67">
        <v>12.91</v>
      </c>
      <c r="G67">
        <v>86.08</v>
      </c>
      <c r="H67">
        <v>1</v>
      </c>
      <c r="I67">
        <v>9</v>
      </c>
      <c r="J67">
        <v>307.20999999999998</v>
      </c>
      <c r="K67">
        <v>60.56</v>
      </c>
      <c r="L67">
        <v>17.25</v>
      </c>
      <c r="M67">
        <v>6</v>
      </c>
      <c r="N67">
        <v>89.4</v>
      </c>
      <c r="O67">
        <v>38123.01</v>
      </c>
      <c r="P67">
        <v>182.32</v>
      </c>
      <c r="Q67">
        <v>988.1</v>
      </c>
      <c r="R67">
        <v>42.71</v>
      </c>
      <c r="S67">
        <v>35.43</v>
      </c>
      <c r="T67">
        <v>2619.04</v>
      </c>
      <c r="U67">
        <v>0.83</v>
      </c>
      <c r="V67">
        <v>0.88</v>
      </c>
      <c r="W67">
        <v>2.98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140</v>
      </c>
      <c r="C68" t="s">
        <v>26</v>
      </c>
      <c r="D68">
        <v>6.1420000000000003</v>
      </c>
      <c r="E68">
        <v>16.28</v>
      </c>
      <c r="F68">
        <v>12.91</v>
      </c>
      <c r="G68">
        <v>86.07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5</v>
      </c>
      <c r="N68">
        <v>89.69</v>
      </c>
      <c r="O68">
        <v>38189.58</v>
      </c>
      <c r="P68">
        <v>181.33</v>
      </c>
      <c r="Q68">
        <v>988.1</v>
      </c>
      <c r="R68">
        <v>42.38</v>
      </c>
      <c r="S68">
        <v>35.43</v>
      </c>
      <c r="T68">
        <v>2454.44</v>
      </c>
      <c r="U68">
        <v>0.84</v>
      </c>
      <c r="V68">
        <v>0.88</v>
      </c>
      <c r="W68">
        <v>2.98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140</v>
      </c>
      <c r="C69" t="s">
        <v>26</v>
      </c>
      <c r="D69">
        <v>6.1417000000000002</v>
      </c>
      <c r="E69">
        <v>16.28</v>
      </c>
      <c r="F69">
        <v>12.91</v>
      </c>
      <c r="G69">
        <v>86.07</v>
      </c>
      <c r="H69">
        <v>1.03</v>
      </c>
      <c r="I69">
        <v>9</v>
      </c>
      <c r="J69">
        <v>308.29000000000002</v>
      </c>
      <c r="K69">
        <v>60.56</v>
      </c>
      <c r="L69">
        <v>17.75</v>
      </c>
      <c r="M69">
        <v>4</v>
      </c>
      <c r="N69">
        <v>89.98</v>
      </c>
      <c r="O69">
        <v>38256.26</v>
      </c>
      <c r="P69">
        <v>180.73</v>
      </c>
      <c r="Q69">
        <v>988.08</v>
      </c>
      <c r="R69">
        <v>42.49</v>
      </c>
      <c r="S69">
        <v>35.43</v>
      </c>
      <c r="T69">
        <v>2511.4299999999998</v>
      </c>
      <c r="U69">
        <v>0.83</v>
      </c>
      <c r="V69">
        <v>0.88</v>
      </c>
      <c r="W69">
        <v>2.98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140</v>
      </c>
      <c r="C70" t="s">
        <v>26</v>
      </c>
      <c r="D70">
        <v>6.1394000000000002</v>
      </c>
      <c r="E70">
        <v>16.29</v>
      </c>
      <c r="F70">
        <v>12.92</v>
      </c>
      <c r="G70">
        <v>86.11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3</v>
      </c>
      <c r="N70">
        <v>90.27</v>
      </c>
      <c r="O70">
        <v>38323.08</v>
      </c>
      <c r="P70">
        <v>179.64</v>
      </c>
      <c r="Q70">
        <v>988.08</v>
      </c>
      <c r="R70">
        <v>42.62</v>
      </c>
      <c r="S70">
        <v>35.43</v>
      </c>
      <c r="T70">
        <v>2574.54</v>
      </c>
      <c r="U70">
        <v>0.83</v>
      </c>
      <c r="V70">
        <v>0.88</v>
      </c>
      <c r="W70">
        <v>2.99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140</v>
      </c>
      <c r="C71" t="s">
        <v>26</v>
      </c>
      <c r="D71">
        <v>6.1382000000000003</v>
      </c>
      <c r="E71">
        <v>16.29</v>
      </c>
      <c r="F71">
        <v>12.92</v>
      </c>
      <c r="G71">
        <v>86.14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3</v>
      </c>
      <c r="N71">
        <v>90.57</v>
      </c>
      <c r="O71">
        <v>38390.019999999997</v>
      </c>
      <c r="P71">
        <v>179.48</v>
      </c>
      <c r="Q71">
        <v>988.08</v>
      </c>
      <c r="R71">
        <v>42.73</v>
      </c>
      <c r="S71">
        <v>35.43</v>
      </c>
      <c r="T71">
        <v>2632.27</v>
      </c>
      <c r="U71">
        <v>0.83</v>
      </c>
      <c r="V71">
        <v>0.88</v>
      </c>
      <c r="W71">
        <v>2.99</v>
      </c>
      <c r="X71">
        <v>0.17</v>
      </c>
      <c r="Y71">
        <v>1</v>
      </c>
      <c r="Z71">
        <v>10</v>
      </c>
    </row>
    <row r="72" spans="1:26" x14ac:dyDescent="0.3">
      <c r="A72">
        <v>70</v>
      </c>
      <c r="B72">
        <v>140</v>
      </c>
      <c r="C72" t="s">
        <v>26</v>
      </c>
      <c r="D72">
        <v>6.1375000000000002</v>
      </c>
      <c r="E72">
        <v>16.29</v>
      </c>
      <c r="F72">
        <v>12.92</v>
      </c>
      <c r="G72">
        <v>86.15</v>
      </c>
      <c r="H72">
        <v>1.06</v>
      </c>
      <c r="I72">
        <v>9</v>
      </c>
      <c r="J72">
        <v>309.91000000000003</v>
      </c>
      <c r="K72">
        <v>60.56</v>
      </c>
      <c r="L72">
        <v>18.5</v>
      </c>
      <c r="M72">
        <v>2</v>
      </c>
      <c r="N72">
        <v>90.86</v>
      </c>
      <c r="O72">
        <v>38457.089999999997</v>
      </c>
      <c r="P72">
        <v>179.3</v>
      </c>
      <c r="Q72">
        <v>988.08</v>
      </c>
      <c r="R72">
        <v>42.71</v>
      </c>
      <c r="S72">
        <v>35.43</v>
      </c>
      <c r="T72">
        <v>2619.7399999999998</v>
      </c>
      <c r="U72">
        <v>0.83</v>
      </c>
      <c r="V72">
        <v>0.88</v>
      </c>
      <c r="W72">
        <v>2.99</v>
      </c>
      <c r="X72">
        <v>0.17</v>
      </c>
      <c r="Y72">
        <v>1</v>
      </c>
      <c r="Z72">
        <v>10</v>
      </c>
    </row>
    <row r="73" spans="1:26" x14ac:dyDescent="0.3">
      <c r="A73">
        <v>71</v>
      </c>
      <c r="B73">
        <v>140</v>
      </c>
      <c r="C73" t="s">
        <v>26</v>
      </c>
      <c r="D73">
        <v>6.1365999999999996</v>
      </c>
      <c r="E73">
        <v>16.3</v>
      </c>
      <c r="F73">
        <v>12.92</v>
      </c>
      <c r="G73">
        <v>86.16</v>
      </c>
      <c r="H73">
        <v>1.08</v>
      </c>
      <c r="I73">
        <v>9</v>
      </c>
      <c r="J73">
        <v>310.45999999999998</v>
      </c>
      <c r="K73">
        <v>60.56</v>
      </c>
      <c r="L73">
        <v>18.75</v>
      </c>
      <c r="M73">
        <v>1</v>
      </c>
      <c r="N73">
        <v>91.16</v>
      </c>
      <c r="O73">
        <v>38524.29</v>
      </c>
      <c r="P73">
        <v>179.21</v>
      </c>
      <c r="Q73">
        <v>988.08</v>
      </c>
      <c r="R73">
        <v>42.76</v>
      </c>
      <c r="S73">
        <v>35.43</v>
      </c>
      <c r="T73">
        <v>2645.15</v>
      </c>
      <c r="U73">
        <v>0.83</v>
      </c>
      <c r="V73">
        <v>0.88</v>
      </c>
      <c r="W73">
        <v>2.99</v>
      </c>
      <c r="X73">
        <v>0.17</v>
      </c>
      <c r="Y73">
        <v>1</v>
      </c>
      <c r="Z73">
        <v>10</v>
      </c>
    </row>
    <row r="74" spans="1:26" x14ac:dyDescent="0.3">
      <c r="A74">
        <v>72</v>
      </c>
      <c r="B74">
        <v>140</v>
      </c>
      <c r="C74" t="s">
        <v>26</v>
      </c>
      <c r="D74">
        <v>6.1364999999999998</v>
      </c>
      <c r="E74">
        <v>16.3</v>
      </c>
      <c r="F74">
        <v>12.92</v>
      </c>
      <c r="G74">
        <v>86.16</v>
      </c>
      <c r="H74">
        <v>1.0900000000000001</v>
      </c>
      <c r="I74">
        <v>9</v>
      </c>
      <c r="J74">
        <v>311.01</v>
      </c>
      <c r="K74">
        <v>60.56</v>
      </c>
      <c r="L74">
        <v>19</v>
      </c>
      <c r="M74">
        <v>0</v>
      </c>
      <c r="N74">
        <v>91.45</v>
      </c>
      <c r="O74">
        <v>38591.620000000003</v>
      </c>
      <c r="P74">
        <v>179.34</v>
      </c>
      <c r="Q74">
        <v>988.08</v>
      </c>
      <c r="R74">
        <v>42.77</v>
      </c>
      <c r="S74">
        <v>35.43</v>
      </c>
      <c r="T74">
        <v>2652.63</v>
      </c>
      <c r="U74">
        <v>0.83</v>
      </c>
      <c r="V74">
        <v>0.88</v>
      </c>
      <c r="W74">
        <v>2.99</v>
      </c>
      <c r="X74">
        <v>0.17</v>
      </c>
      <c r="Y74">
        <v>1</v>
      </c>
      <c r="Z7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40</v>
      </c>
      <c r="C2" t="s">
        <v>26</v>
      </c>
      <c r="D2">
        <v>5.5658000000000003</v>
      </c>
      <c r="E2">
        <v>17.97</v>
      </c>
      <c r="F2">
        <v>14.44</v>
      </c>
      <c r="G2">
        <v>10.31</v>
      </c>
      <c r="H2">
        <v>0.2</v>
      </c>
      <c r="I2">
        <v>84</v>
      </c>
      <c r="J2">
        <v>89.87</v>
      </c>
      <c r="K2">
        <v>37.549999999999997</v>
      </c>
      <c r="L2">
        <v>1</v>
      </c>
      <c r="M2">
        <v>82</v>
      </c>
      <c r="N2">
        <v>11.32</v>
      </c>
      <c r="O2">
        <v>11317.98</v>
      </c>
      <c r="P2">
        <v>115.02</v>
      </c>
      <c r="Q2">
        <v>988.39</v>
      </c>
      <c r="R2">
        <v>90.47</v>
      </c>
      <c r="S2">
        <v>35.43</v>
      </c>
      <c r="T2">
        <v>26126.14</v>
      </c>
      <c r="U2">
        <v>0.39</v>
      </c>
      <c r="V2">
        <v>0.79</v>
      </c>
      <c r="W2">
        <v>3.1</v>
      </c>
      <c r="X2">
        <v>1.68</v>
      </c>
      <c r="Y2">
        <v>1</v>
      </c>
      <c r="Z2">
        <v>10</v>
      </c>
    </row>
    <row r="3" spans="1:26" x14ac:dyDescent="0.3">
      <c r="A3">
        <v>1</v>
      </c>
      <c r="B3">
        <v>40</v>
      </c>
      <c r="C3" t="s">
        <v>26</v>
      </c>
      <c r="D3">
        <v>5.8204000000000002</v>
      </c>
      <c r="E3">
        <v>17.18</v>
      </c>
      <c r="F3">
        <v>14.03</v>
      </c>
      <c r="G3">
        <v>13.15</v>
      </c>
      <c r="H3">
        <v>0.24</v>
      </c>
      <c r="I3">
        <v>64</v>
      </c>
      <c r="J3">
        <v>90.18</v>
      </c>
      <c r="K3">
        <v>37.549999999999997</v>
      </c>
      <c r="L3">
        <v>1.25</v>
      </c>
      <c r="M3">
        <v>62</v>
      </c>
      <c r="N3">
        <v>11.37</v>
      </c>
      <c r="O3">
        <v>11355.7</v>
      </c>
      <c r="P3">
        <v>109.51</v>
      </c>
      <c r="Q3">
        <v>988.32</v>
      </c>
      <c r="R3">
        <v>77.48</v>
      </c>
      <c r="S3">
        <v>35.43</v>
      </c>
      <c r="T3">
        <v>19728.89</v>
      </c>
      <c r="U3">
        <v>0.46</v>
      </c>
      <c r="V3">
        <v>0.81</v>
      </c>
      <c r="W3">
        <v>3.07</v>
      </c>
      <c r="X3">
        <v>1.28</v>
      </c>
      <c r="Y3">
        <v>1</v>
      </c>
      <c r="Z3">
        <v>10</v>
      </c>
    </row>
    <row r="4" spans="1:26" x14ac:dyDescent="0.3">
      <c r="A4">
        <v>2</v>
      </c>
      <c r="B4">
        <v>40</v>
      </c>
      <c r="C4" t="s">
        <v>26</v>
      </c>
      <c r="D4">
        <v>5.9932999999999996</v>
      </c>
      <c r="E4">
        <v>16.690000000000001</v>
      </c>
      <c r="F4">
        <v>13.78</v>
      </c>
      <c r="G4">
        <v>16.21</v>
      </c>
      <c r="H4">
        <v>0.28999999999999998</v>
      </c>
      <c r="I4">
        <v>51</v>
      </c>
      <c r="J4">
        <v>90.48</v>
      </c>
      <c r="K4">
        <v>37.549999999999997</v>
      </c>
      <c r="L4">
        <v>1.5</v>
      </c>
      <c r="M4">
        <v>49</v>
      </c>
      <c r="N4">
        <v>11.43</v>
      </c>
      <c r="O4">
        <v>11393.43</v>
      </c>
      <c r="P4">
        <v>104.63</v>
      </c>
      <c r="Q4">
        <v>988.19</v>
      </c>
      <c r="R4">
        <v>69.709999999999994</v>
      </c>
      <c r="S4">
        <v>35.43</v>
      </c>
      <c r="T4">
        <v>15912.24</v>
      </c>
      <c r="U4">
        <v>0.51</v>
      </c>
      <c r="V4">
        <v>0.83</v>
      </c>
      <c r="W4">
        <v>3.05</v>
      </c>
      <c r="X4">
        <v>1.03</v>
      </c>
      <c r="Y4">
        <v>1</v>
      </c>
      <c r="Z4">
        <v>10</v>
      </c>
    </row>
    <row r="5" spans="1:26" x14ac:dyDescent="0.3">
      <c r="A5">
        <v>3</v>
      </c>
      <c r="B5">
        <v>40</v>
      </c>
      <c r="C5" t="s">
        <v>26</v>
      </c>
      <c r="D5">
        <v>6.1135000000000002</v>
      </c>
      <c r="E5">
        <v>16.36</v>
      </c>
      <c r="F5">
        <v>13.61</v>
      </c>
      <c r="G5">
        <v>18.98</v>
      </c>
      <c r="H5">
        <v>0.34</v>
      </c>
      <c r="I5">
        <v>43</v>
      </c>
      <c r="J5">
        <v>90.79</v>
      </c>
      <c r="K5">
        <v>37.549999999999997</v>
      </c>
      <c r="L5">
        <v>1.75</v>
      </c>
      <c r="M5">
        <v>41</v>
      </c>
      <c r="N5">
        <v>11.49</v>
      </c>
      <c r="O5">
        <v>11431.19</v>
      </c>
      <c r="P5">
        <v>100.57</v>
      </c>
      <c r="Q5">
        <v>988.32</v>
      </c>
      <c r="R5">
        <v>64.02</v>
      </c>
      <c r="S5">
        <v>35.43</v>
      </c>
      <c r="T5">
        <v>13106.87</v>
      </c>
      <c r="U5">
        <v>0.55000000000000004</v>
      </c>
      <c r="V5">
        <v>0.84</v>
      </c>
      <c r="W5">
        <v>3.04</v>
      </c>
      <c r="X5">
        <v>0.85</v>
      </c>
      <c r="Y5">
        <v>1</v>
      </c>
      <c r="Z5">
        <v>10</v>
      </c>
    </row>
    <row r="6" spans="1:26" x14ac:dyDescent="0.3">
      <c r="A6">
        <v>4</v>
      </c>
      <c r="B6">
        <v>40</v>
      </c>
      <c r="C6" t="s">
        <v>26</v>
      </c>
      <c r="D6">
        <v>6.2257999999999996</v>
      </c>
      <c r="E6">
        <v>16.059999999999999</v>
      </c>
      <c r="F6">
        <v>13.44</v>
      </c>
      <c r="G6">
        <v>22.4</v>
      </c>
      <c r="H6">
        <v>0.39</v>
      </c>
      <c r="I6">
        <v>36</v>
      </c>
      <c r="J6">
        <v>91.1</v>
      </c>
      <c r="K6">
        <v>37.549999999999997</v>
      </c>
      <c r="L6">
        <v>2</v>
      </c>
      <c r="M6">
        <v>34</v>
      </c>
      <c r="N6">
        <v>11.54</v>
      </c>
      <c r="O6">
        <v>11468.97</v>
      </c>
      <c r="P6">
        <v>97.07</v>
      </c>
      <c r="Q6">
        <v>988.13</v>
      </c>
      <c r="R6">
        <v>59.23</v>
      </c>
      <c r="S6">
        <v>35.43</v>
      </c>
      <c r="T6">
        <v>10744.83</v>
      </c>
      <c r="U6">
        <v>0.6</v>
      </c>
      <c r="V6">
        <v>0.85</v>
      </c>
      <c r="W6">
        <v>3.02</v>
      </c>
      <c r="X6">
        <v>0.69</v>
      </c>
      <c r="Y6">
        <v>1</v>
      </c>
      <c r="Z6">
        <v>10</v>
      </c>
    </row>
    <row r="7" spans="1:26" x14ac:dyDescent="0.3">
      <c r="A7">
        <v>5</v>
      </c>
      <c r="B7">
        <v>40</v>
      </c>
      <c r="C7" t="s">
        <v>26</v>
      </c>
      <c r="D7">
        <v>6.2925000000000004</v>
      </c>
      <c r="E7">
        <v>15.89</v>
      </c>
      <c r="F7">
        <v>13.37</v>
      </c>
      <c r="G7">
        <v>25.87</v>
      </c>
      <c r="H7">
        <v>0.43</v>
      </c>
      <c r="I7">
        <v>31</v>
      </c>
      <c r="J7">
        <v>91.4</v>
      </c>
      <c r="K7">
        <v>37.549999999999997</v>
      </c>
      <c r="L7">
        <v>2.25</v>
      </c>
      <c r="M7">
        <v>29</v>
      </c>
      <c r="N7">
        <v>11.6</v>
      </c>
      <c r="O7">
        <v>11506.78</v>
      </c>
      <c r="P7">
        <v>93.5</v>
      </c>
      <c r="Q7">
        <v>988.14</v>
      </c>
      <c r="R7">
        <v>56.75</v>
      </c>
      <c r="S7">
        <v>35.43</v>
      </c>
      <c r="T7">
        <v>9530.18</v>
      </c>
      <c r="U7">
        <v>0.62</v>
      </c>
      <c r="V7">
        <v>0.85</v>
      </c>
      <c r="W7">
        <v>3.02</v>
      </c>
      <c r="X7">
        <v>0.61</v>
      </c>
      <c r="Y7">
        <v>1</v>
      </c>
      <c r="Z7">
        <v>10</v>
      </c>
    </row>
    <row r="8" spans="1:26" x14ac:dyDescent="0.3">
      <c r="A8">
        <v>6</v>
      </c>
      <c r="B8">
        <v>40</v>
      </c>
      <c r="C8" t="s">
        <v>26</v>
      </c>
      <c r="D8">
        <v>6.3341000000000003</v>
      </c>
      <c r="E8">
        <v>15.79</v>
      </c>
      <c r="F8">
        <v>13.32</v>
      </c>
      <c r="G8">
        <v>28.54</v>
      </c>
      <c r="H8">
        <v>0.48</v>
      </c>
      <c r="I8">
        <v>28</v>
      </c>
      <c r="J8">
        <v>91.71</v>
      </c>
      <c r="K8">
        <v>37.549999999999997</v>
      </c>
      <c r="L8">
        <v>2.5</v>
      </c>
      <c r="M8">
        <v>14</v>
      </c>
      <c r="N8">
        <v>11.66</v>
      </c>
      <c r="O8">
        <v>11544.61</v>
      </c>
      <c r="P8">
        <v>90.63</v>
      </c>
      <c r="Q8">
        <v>988.31</v>
      </c>
      <c r="R8">
        <v>54.58</v>
      </c>
      <c r="S8">
        <v>35.43</v>
      </c>
      <c r="T8">
        <v>8459.66</v>
      </c>
      <c r="U8">
        <v>0.65</v>
      </c>
      <c r="V8">
        <v>0.86</v>
      </c>
      <c r="W8">
        <v>3.03</v>
      </c>
      <c r="X8">
        <v>0.56000000000000005</v>
      </c>
      <c r="Y8">
        <v>1</v>
      </c>
      <c r="Z8">
        <v>10</v>
      </c>
    </row>
    <row r="9" spans="1:26" x14ac:dyDescent="0.3">
      <c r="A9">
        <v>7</v>
      </c>
      <c r="B9">
        <v>40</v>
      </c>
      <c r="C9" t="s">
        <v>26</v>
      </c>
      <c r="D9">
        <v>6.3650000000000002</v>
      </c>
      <c r="E9">
        <v>15.71</v>
      </c>
      <c r="F9">
        <v>13.28</v>
      </c>
      <c r="G9">
        <v>30.65</v>
      </c>
      <c r="H9">
        <v>0.52</v>
      </c>
      <c r="I9">
        <v>26</v>
      </c>
      <c r="J9">
        <v>92.02</v>
      </c>
      <c r="K9">
        <v>37.549999999999997</v>
      </c>
      <c r="L9">
        <v>2.75</v>
      </c>
      <c r="M9">
        <v>3</v>
      </c>
      <c r="N9">
        <v>11.71</v>
      </c>
      <c r="O9">
        <v>11582.46</v>
      </c>
      <c r="P9">
        <v>89.26</v>
      </c>
      <c r="Q9">
        <v>988.26</v>
      </c>
      <c r="R9">
        <v>53.35</v>
      </c>
      <c r="S9">
        <v>35.43</v>
      </c>
      <c r="T9">
        <v>7857.64</v>
      </c>
      <c r="U9">
        <v>0.66</v>
      </c>
      <c r="V9">
        <v>0.86</v>
      </c>
      <c r="W9">
        <v>3.03</v>
      </c>
      <c r="X9">
        <v>0.53</v>
      </c>
      <c r="Y9">
        <v>1</v>
      </c>
      <c r="Z9">
        <v>10</v>
      </c>
    </row>
    <row r="10" spans="1:26" x14ac:dyDescent="0.3">
      <c r="A10">
        <v>8</v>
      </c>
      <c r="B10">
        <v>40</v>
      </c>
      <c r="C10" t="s">
        <v>26</v>
      </c>
      <c r="D10">
        <v>6.3628999999999998</v>
      </c>
      <c r="E10">
        <v>15.72</v>
      </c>
      <c r="F10">
        <v>13.29</v>
      </c>
      <c r="G10">
        <v>30.66</v>
      </c>
      <c r="H10">
        <v>0.56999999999999995</v>
      </c>
      <c r="I10">
        <v>26</v>
      </c>
      <c r="J10">
        <v>92.32</v>
      </c>
      <c r="K10">
        <v>37.549999999999997</v>
      </c>
      <c r="L10">
        <v>3</v>
      </c>
      <c r="M10">
        <v>0</v>
      </c>
      <c r="N10">
        <v>11.77</v>
      </c>
      <c r="O10">
        <v>11620.34</v>
      </c>
      <c r="P10">
        <v>89.52</v>
      </c>
      <c r="Q10">
        <v>988.23</v>
      </c>
      <c r="R10">
        <v>53.42</v>
      </c>
      <c r="S10">
        <v>35.43</v>
      </c>
      <c r="T10">
        <v>7891.5</v>
      </c>
      <c r="U10">
        <v>0.66</v>
      </c>
      <c r="V10">
        <v>0.86</v>
      </c>
      <c r="W10">
        <v>3.03</v>
      </c>
      <c r="X10">
        <v>0.53</v>
      </c>
      <c r="Y10">
        <v>1</v>
      </c>
      <c r="Z10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Z5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125</v>
      </c>
      <c r="C2" t="s">
        <v>26</v>
      </c>
      <c r="D2">
        <v>3.4971999999999999</v>
      </c>
      <c r="E2">
        <v>28.59</v>
      </c>
      <c r="F2">
        <v>16.72</v>
      </c>
      <c r="G2">
        <v>5.2</v>
      </c>
      <c r="H2">
        <v>7.0000000000000007E-2</v>
      </c>
      <c r="I2">
        <v>193</v>
      </c>
      <c r="J2">
        <v>242.64</v>
      </c>
      <c r="K2">
        <v>58.47</v>
      </c>
      <c r="L2">
        <v>1</v>
      </c>
      <c r="M2">
        <v>191</v>
      </c>
      <c r="N2">
        <v>58.17</v>
      </c>
      <c r="O2">
        <v>30160.1</v>
      </c>
      <c r="P2">
        <v>267.77999999999997</v>
      </c>
      <c r="Q2">
        <v>988.72</v>
      </c>
      <c r="R2">
        <v>161.43</v>
      </c>
      <c r="S2">
        <v>35.43</v>
      </c>
      <c r="T2">
        <v>61059.02</v>
      </c>
      <c r="U2">
        <v>0.22</v>
      </c>
      <c r="V2">
        <v>0.68</v>
      </c>
      <c r="W2">
        <v>3.28</v>
      </c>
      <c r="X2">
        <v>3.96</v>
      </c>
      <c r="Y2">
        <v>1</v>
      </c>
      <c r="Z2">
        <v>10</v>
      </c>
    </row>
    <row r="3" spans="1:26" x14ac:dyDescent="0.3">
      <c r="A3">
        <v>1</v>
      </c>
      <c r="B3">
        <v>125</v>
      </c>
      <c r="C3" t="s">
        <v>26</v>
      </c>
      <c r="D3">
        <v>3.9521999999999999</v>
      </c>
      <c r="E3">
        <v>25.3</v>
      </c>
      <c r="F3">
        <v>15.7</v>
      </c>
      <c r="G3">
        <v>6.5</v>
      </c>
      <c r="H3">
        <v>0.09</v>
      </c>
      <c r="I3">
        <v>145</v>
      </c>
      <c r="J3">
        <v>243.08</v>
      </c>
      <c r="K3">
        <v>58.47</v>
      </c>
      <c r="L3">
        <v>1.25</v>
      </c>
      <c r="M3">
        <v>143</v>
      </c>
      <c r="N3">
        <v>58.36</v>
      </c>
      <c r="O3">
        <v>30214.33</v>
      </c>
      <c r="P3">
        <v>250.63</v>
      </c>
      <c r="Q3">
        <v>988.68</v>
      </c>
      <c r="R3">
        <v>129.43</v>
      </c>
      <c r="S3">
        <v>35.43</v>
      </c>
      <c r="T3">
        <v>45300.14</v>
      </c>
      <c r="U3">
        <v>0.27</v>
      </c>
      <c r="V3">
        <v>0.73</v>
      </c>
      <c r="W3">
        <v>3.2</v>
      </c>
      <c r="X3">
        <v>2.94</v>
      </c>
      <c r="Y3">
        <v>1</v>
      </c>
      <c r="Z3">
        <v>10</v>
      </c>
    </row>
    <row r="4" spans="1:26" x14ac:dyDescent="0.3">
      <c r="A4">
        <v>2</v>
      </c>
      <c r="B4">
        <v>125</v>
      </c>
      <c r="C4" t="s">
        <v>26</v>
      </c>
      <c r="D4">
        <v>4.2869000000000002</v>
      </c>
      <c r="E4">
        <v>23.33</v>
      </c>
      <c r="F4">
        <v>15.09</v>
      </c>
      <c r="G4">
        <v>7.81</v>
      </c>
      <c r="H4">
        <v>0.11</v>
      </c>
      <c r="I4">
        <v>116</v>
      </c>
      <c r="J4">
        <v>243.52</v>
      </c>
      <c r="K4">
        <v>58.47</v>
      </c>
      <c r="L4">
        <v>1.5</v>
      </c>
      <c r="M4">
        <v>114</v>
      </c>
      <c r="N4">
        <v>58.55</v>
      </c>
      <c r="O4">
        <v>30268.639999999999</v>
      </c>
      <c r="P4">
        <v>240.13</v>
      </c>
      <c r="Q4">
        <v>988.47</v>
      </c>
      <c r="R4">
        <v>110.41</v>
      </c>
      <c r="S4">
        <v>35.43</v>
      </c>
      <c r="T4">
        <v>35934.83</v>
      </c>
      <c r="U4">
        <v>0.32</v>
      </c>
      <c r="V4">
        <v>0.76</v>
      </c>
      <c r="W4">
        <v>3.15</v>
      </c>
      <c r="X4">
        <v>2.33</v>
      </c>
      <c r="Y4">
        <v>1</v>
      </c>
      <c r="Z4">
        <v>10</v>
      </c>
    </row>
    <row r="5" spans="1:26" x14ac:dyDescent="0.3">
      <c r="A5">
        <v>3</v>
      </c>
      <c r="B5">
        <v>125</v>
      </c>
      <c r="C5" t="s">
        <v>26</v>
      </c>
      <c r="D5">
        <v>4.5370999999999997</v>
      </c>
      <c r="E5">
        <v>22.04</v>
      </c>
      <c r="F5">
        <v>14.7</v>
      </c>
      <c r="G5">
        <v>9.09</v>
      </c>
      <c r="H5">
        <v>0.13</v>
      </c>
      <c r="I5">
        <v>97</v>
      </c>
      <c r="J5">
        <v>243.96</v>
      </c>
      <c r="K5">
        <v>58.47</v>
      </c>
      <c r="L5">
        <v>1.75</v>
      </c>
      <c r="M5">
        <v>95</v>
      </c>
      <c r="N5">
        <v>58.74</v>
      </c>
      <c r="O5">
        <v>30323.01</v>
      </c>
      <c r="P5">
        <v>233.16</v>
      </c>
      <c r="Q5">
        <v>988.37</v>
      </c>
      <c r="R5">
        <v>98.31</v>
      </c>
      <c r="S5">
        <v>35.43</v>
      </c>
      <c r="T5">
        <v>29978.81</v>
      </c>
      <c r="U5">
        <v>0.36</v>
      </c>
      <c r="V5">
        <v>0.78</v>
      </c>
      <c r="W5">
        <v>3.12</v>
      </c>
      <c r="X5">
        <v>1.94</v>
      </c>
      <c r="Y5">
        <v>1</v>
      </c>
      <c r="Z5">
        <v>10</v>
      </c>
    </row>
    <row r="6" spans="1:26" x14ac:dyDescent="0.3">
      <c r="A6">
        <v>4</v>
      </c>
      <c r="B6">
        <v>125</v>
      </c>
      <c r="C6" t="s">
        <v>26</v>
      </c>
      <c r="D6">
        <v>4.7450999999999999</v>
      </c>
      <c r="E6">
        <v>21.07</v>
      </c>
      <c r="F6">
        <v>14.4</v>
      </c>
      <c r="G6">
        <v>10.41</v>
      </c>
      <c r="H6">
        <v>0.15</v>
      </c>
      <c r="I6">
        <v>83</v>
      </c>
      <c r="J6">
        <v>244.41</v>
      </c>
      <c r="K6">
        <v>58.47</v>
      </c>
      <c r="L6">
        <v>2</v>
      </c>
      <c r="M6">
        <v>81</v>
      </c>
      <c r="N6">
        <v>58.93</v>
      </c>
      <c r="O6">
        <v>30377.45</v>
      </c>
      <c r="P6">
        <v>227.64</v>
      </c>
      <c r="Q6">
        <v>988.54</v>
      </c>
      <c r="R6">
        <v>89.02</v>
      </c>
      <c r="S6">
        <v>35.43</v>
      </c>
      <c r="T6">
        <v>25405.74</v>
      </c>
      <c r="U6">
        <v>0.4</v>
      </c>
      <c r="V6">
        <v>0.79</v>
      </c>
      <c r="W6">
        <v>3.09</v>
      </c>
      <c r="X6">
        <v>1.64</v>
      </c>
      <c r="Y6">
        <v>1</v>
      </c>
      <c r="Z6">
        <v>10</v>
      </c>
    </row>
    <row r="7" spans="1:26" x14ac:dyDescent="0.3">
      <c r="A7">
        <v>5</v>
      </c>
      <c r="B7">
        <v>125</v>
      </c>
      <c r="C7" t="s">
        <v>26</v>
      </c>
      <c r="D7">
        <v>4.9001000000000001</v>
      </c>
      <c r="E7">
        <v>20.41</v>
      </c>
      <c r="F7">
        <v>14.2</v>
      </c>
      <c r="G7">
        <v>11.67</v>
      </c>
      <c r="H7">
        <v>0.16</v>
      </c>
      <c r="I7">
        <v>73</v>
      </c>
      <c r="J7">
        <v>244.85</v>
      </c>
      <c r="K7">
        <v>58.47</v>
      </c>
      <c r="L7">
        <v>2.25</v>
      </c>
      <c r="M7">
        <v>71</v>
      </c>
      <c r="N7">
        <v>59.12</v>
      </c>
      <c r="O7">
        <v>30431.96</v>
      </c>
      <c r="P7">
        <v>223.8</v>
      </c>
      <c r="Q7">
        <v>988.18</v>
      </c>
      <c r="R7">
        <v>83.03</v>
      </c>
      <c r="S7">
        <v>35.43</v>
      </c>
      <c r="T7">
        <v>22459.11</v>
      </c>
      <c r="U7">
        <v>0.43</v>
      </c>
      <c r="V7">
        <v>0.8</v>
      </c>
      <c r="W7">
        <v>3.08</v>
      </c>
      <c r="X7">
        <v>1.45</v>
      </c>
      <c r="Y7">
        <v>1</v>
      </c>
      <c r="Z7">
        <v>10</v>
      </c>
    </row>
    <row r="8" spans="1:26" x14ac:dyDescent="0.3">
      <c r="A8">
        <v>6</v>
      </c>
      <c r="B8">
        <v>125</v>
      </c>
      <c r="C8" t="s">
        <v>26</v>
      </c>
      <c r="D8">
        <v>5.0496999999999996</v>
      </c>
      <c r="E8">
        <v>19.8</v>
      </c>
      <c r="F8">
        <v>14.02</v>
      </c>
      <c r="G8">
        <v>13.15</v>
      </c>
      <c r="H8">
        <v>0.18</v>
      </c>
      <c r="I8">
        <v>64</v>
      </c>
      <c r="J8">
        <v>245.29</v>
      </c>
      <c r="K8">
        <v>58.47</v>
      </c>
      <c r="L8">
        <v>2.5</v>
      </c>
      <c r="M8">
        <v>62</v>
      </c>
      <c r="N8">
        <v>59.32</v>
      </c>
      <c r="O8">
        <v>30486.54</v>
      </c>
      <c r="P8">
        <v>220.13</v>
      </c>
      <c r="Q8">
        <v>988.19</v>
      </c>
      <c r="R8">
        <v>77.010000000000005</v>
      </c>
      <c r="S8">
        <v>35.43</v>
      </c>
      <c r="T8">
        <v>19494.560000000001</v>
      </c>
      <c r="U8">
        <v>0.46</v>
      </c>
      <c r="V8">
        <v>0.81</v>
      </c>
      <c r="W8">
        <v>3.08</v>
      </c>
      <c r="X8">
        <v>1.27</v>
      </c>
      <c r="Y8">
        <v>1</v>
      </c>
      <c r="Z8">
        <v>10</v>
      </c>
    </row>
    <row r="9" spans="1:26" x14ac:dyDescent="0.3">
      <c r="A9">
        <v>7</v>
      </c>
      <c r="B9">
        <v>125</v>
      </c>
      <c r="C9" t="s">
        <v>26</v>
      </c>
      <c r="D9">
        <v>5.1555999999999997</v>
      </c>
      <c r="E9">
        <v>19.399999999999999</v>
      </c>
      <c r="F9">
        <v>13.9</v>
      </c>
      <c r="G9">
        <v>14.38</v>
      </c>
      <c r="H9">
        <v>0.2</v>
      </c>
      <c r="I9">
        <v>58</v>
      </c>
      <c r="J9">
        <v>245.73</v>
      </c>
      <c r="K9">
        <v>58.47</v>
      </c>
      <c r="L9">
        <v>2.75</v>
      </c>
      <c r="M9">
        <v>56</v>
      </c>
      <c r="N9">
        <v>59.51</v>
      </c>
      <c r="O9">
        <v>30541.19</v>
      </c>
      <c r="P9">
        <v>217.67</v>
      </c>
      <c r="Q9">
        <v>988.17</v>
      </c>
      <c r="R9">
        <v>73.22</v>
      </c>
      <c r="S9">
        <v>35.43</v>
      </c>
      <c r="T9">
        <v>17630.990000000002</v>
      </c>
      <c r="U9">
        <v>0.48</v>
      </c>
      <c r="V9">
        <v>0.82</v>
      </c>
      <c r="W9">
        <v>3.06</v>
      </c>
      <c r="X9">
        <v>1.1499999999999999</v>
      </c>
      <c r="Y9">
        <v>1</v>
      </c>
      <c r="Z9">
        <v>10</v>
      </c>
    </row>
    <row r="10" spans="1:26" x14ac:dyDescent="0.3">
      <c r="A10">
        <v>8</v>
      </c>
      <c r="B10">
        <v>125</v>
      </c>
      <c r="C10" t="s">
        <v>26</v>
      </c>
      <c r="D10">
        <v>5.2446999999999999</v>
      </c>
      <c r="E10">
        <v>19.07</v>
      </c>
      <c r="F10">
        <v>13.81</v>
      </c>
      <c r="G10">
        <v>15.63</v>
      </c>
      <c r="H10">
        <v>0.22</v>
      </c>
      <c r="I10">
        <v>53</v>
      </c>
      <c r="J10">
        <v>246.18</v>
      </c>
      <c r="K10">
        <v>58.47</v>
      </c>
      <c r="L10">
        <v>3</v>
      </c>
      <c r="M10">
        <v>51</v>
      </c>
      <c r="N10">
        <v>59.7</v>
      </c>
      <c r="O10">
        <v>30595.91</v>
      </c>
      <c r="P10">
        <v>215.44</v>
      </c>
      <c r="Q10">
        <v>988.22</v>
      </c>
      <c r="R10">
        <v>70.31</v>
      </c>
      <c r="S10">
        <v>35.43</v>
      </c>
      <c r="T10">
        <v>16202.32</v>
      </c>
      <c r="U10">
        <v>0.5</v>
      </c>
      <c r="V10">
        <v>0.83</v>
      </c>
      <c r="W10">
        <v>3.06</v>
      </c>
      <c r="X10">
        <v>1.05</v>
      </c>
      <c r="Y10">
        <v>1</v>
      </c>
      <c r="Z10">
        <v>10</v>
      </c>
    </row>
    <row r="11" spans="1:26" x14ac:dyDescent="0.3">
      <c r="A11">
        <v>9</v>
      </c>
      <c r="B11">
        <v>125</v>
      </c>
      <c r="C11" t="s">
        <v>26</v>
      </c>
      <c r="D11">
        <v>5.343</v>
      </c>
      <c r="E11">
        <v>18.72</v>
      </c>
      <c r="F11">
        <v>13.69</v>
      </c>
      <c r="G11">
        <v>17.12</v>
      </c>
      <c r="H11">
        <v>0.23</v>
      </c>
      <c r="I11">
        <v>48</v>
      </c>
      <c r="J11">
        <v>246.62</v>
      </c>
      <c r="K11">
        <v>58.47</v>
      </c>
      <c r="L11">
        <v>3.25</v>
      </c>
      <c r="M11">
        <v>46</v>
      </c>
      <c r="N11">
        <v>59.9</v>
      </c>
      <c r="O11">
        <v>30650.7</v>
      </c>
      <c r="P11">
        <v>212.85</v>
      </c>
      <c r="Q11">
        <v>988.14</v>
      </c>
      <c r="R11">
        <v>66.97</v>
      </c>
      <c r="S11">
        <v>35.43</v>
      </c>
      <c r="T11">
        <v>14558.54</v>
      </c>
      <c r="U11">
        <v>0.53</v>
      </c>
      <c r="V11">
        <v>0.83</v>
      </c>
      <c r="W11">
        <v>3.04</v>
      </c>
      <c r="X11">
        <v>0.94</v>
      </c>
      <c r="Y11">
        <v>1</v>
      </c>
      <c r="Z11">
        <v>10</v>
      </c>
    </row>
    <row r="12" spans="1:26" x14ac:dyDescent="0.3">
      <c r="A12">
        <v>10</v>
      </c>
      <c r="B12">
        <v>125</v>
      </c>
      <c r="C12" t="s">
        <v>26</v>
      </c>
      <c r="D12">
        <v>5.4009</v>
      </c>
      <c r="E12">
        <v>18.52</v>
      </c>
      <c r="F12">
        <v>13.63</v>
      </c>
      <c r="G12">
        <v>18.18</v>
      </c>
      <c r="H12">
        <v>0.25</v>
      </c>
      <c r="I12">
        <v>45</v>
      </c>
      <c r="J12">
        <v>247.07</v>
      </c>
      <c r="K12">
        <v>58.47</v>
      </c>
      <c r="L12">
        <v>3.5</v>
      </c>
      <c r="M12">
        <v>43</v>
      </c>
      <c r="N12">
        <v>60.09</v>
      </c>
      <c r="O12">
        <v>30705.56</v>
      </c>
      <c r="P12">
        <v>211.19</v>
      </c>
      <c r="Q12">
        <v>988.19</v>
      </c>
      <c r="R12">
        <v>65.11</v>
      </c>
      <c r="S12">
        <v>35.43</v>
      </c>
      <c r="T12">
        <v>13638.64</v>
      </c>
      <c r="U12">
        <v>0.54</v>
      </c>
      <c r="V12">
        <v>0.84</v>
      </c>
      <c r="W12">
        <v>3.03</v>
      </c>
      <c r="X12">
        <v>0.88</v>
      </c>
      <c r="Y12">
        <v>1</v>
      </c>
      <c r="Z12">
        <v>10</v>
      </c>
    </row>
    <row r="13" spans="1:26" x14ac:dyDescent="0.3">
      <c r="A13">
        <v>11</v>
      </c>
      <c r="B13">
        <v>125</v>
      </c>
      <c r="C13" t="s">
        <v>26</v>
      </c>
      <c r="D13">
        <v>5.4760999999999997</v>
      </c>
      <c r="E13">
        <v>18.260000000000002</v>
      </c>
      <c r="F13">
        <v>13.57</v>
      </c>
      <c r="G13">
        <v>19.86</v>
      </c>
      <c r="H13">
        <v>0.27</v>
      </c>
      <c r="I13">
        <v>41</v>
      </c>
      <c r="J13">
        <v>247.51</v>
      </c>
      <c r="K13">
        <v>58.47</v>
      </c>
      <c r="L13">
        <v>3.75</v>
      </c>
      <c r="M13">
        <v>39</v>
      </c>
      <c r="N13">
        <v>60.29</v>
      </c>
      <c r="O13">
        <v>30760.49</v>
      </c>
      <c r="P13">
        <v>209.54</v>
      </c>
      <c r="Q13">
        <v>988.12</v>
      </c>
      <c r="R13">
        <v>62.7</v>
      </c>
      <c r="S13">
        <v>35.43</v>
      </c>
      <c r="T13">
        <v>12458.49</v>
      </c>
      <c r="U13">
        <v>0.56999999999999995</v>
      </c>
      <c r="V13">
        <v>0.84</v>
      </c>
      <c r="W13">
        <v>3.04</v>
      </c>
      <c r="X13">
        <v>0.81</v>
      </c>
      <c r="Y13">
        <v>1</v>
      </c>
      <c r="Z13">
        <v>10</v>
      </c>
    </row>
    <row r="14" spans="1:26" x14ac:dyDescent="0.3">
      <c r="A14">
        <v>12</v>
      </c>
      <c r="B14">
        <v>125</v>
      </c>
      <c r="C14" t="s">
        <v>26</v>
      </c>
      <c r="D14">
        <v>5.5221</v>
      </c>
      <c r="E14">
        <v>18.11</v>
      </c>
      <c r="F14">
        <v>13.51</v>
      </c>
      <c r="G14">
        <v>20.79</v>
      </c>
      <c r="H14">
        <v>0.28999999999999998</v>
      </c>
      <c r="I14">
        <v>39</v>
      </c>
      <c r="J14">
        <v>247.96</v>
      </c>
      <c r="K14">
        <v>58.47</v>
      </c>
      <c r="L14">
        <v>4</v>
      </c>
      <c r="M14">
        <v>37</v>
      </c>
      <c r="N14">
        <v>60.48</v>
      </c>
      <c r="O14">
        <v>30815.5</v>
      </c>
      <c r="P14">
        <v>207.88</v>
      </c>
      <c r="Q14">
        <v>988.22</v>
      </c>
      <c r="R14">
        <v>61.36</v>
      </c>
      <c r="S14">
        <v>35.43</v>
      </c>
      <c r="T14">
        <v>11798.29</v>
      </c>
      <c r="U14">
        <v>0.57999999999999996</v>
      </c>
      <c r="V14">
        <v>0.84</v>
      </c>
      <c r="W14">
        <v>3.02</v>
      </c>
      <c r="X14">
        <v>0.76</v>
      </c>
      <c r="Y14">
        <v>1</v>
      </c>
      <c r="Z14">
        <v>10</v>
      </c>
    </row>
    <row r="15" spans="1:26" x14ac:dyDescent="0.3">
      <c r="A15">
        <v>13</v>
      </c>
      <c r="B15">
        <v>125</v>
      </c>
      <c r="C15" t="s">
        <v>26</v>
      </c>
      <c r="D15">
        <v>5.5864000000000003</v>
      </c>
      <c r="E15">
        <v>17.899999999999999</v>
      </c>
      <c r="F15">
        <v>13.44</v>
      </c>
      <c r="G15">
        <v>22.41</v>
      </c>
      <c r="H15">
        <v>0.3</v>
      </c>
      <c r="I15">
        <v>36</v>
      </c>
      <c r="J15">
        <v>248.4</v>
      </c>
      <c r="K15">
        <v>58.47</v>
      </c>
      <c r="L15">
        <v>4.25</v>
      </c>
      <c r="M15">
        <v>34</v>
      </c>
      <c r="N15">
        <v>60.68</v>
      </c>
      <c r="O15">
        <v>30870.57</v>
      </c>
      <c r="P15">
        <v>206.06</v>
      </c>
      <c r="Q15">
        <v>988.28</v>
      </c>
      <c r="R15">
        <v>59.01</v>
      </c>
      <c r="S15">
        <v>35.43</v>
      </c>
      <c r="T15">
        <v>10637.62</v>
      </c>
      <c r="U15">
        <v>0.6</v>
      </c>
      <c r="V15">
        <v>0.85</v>
      </c>
      <c r="W15">
        <v>3.02</v>
      </c>
      <c r="X15">
        <v>0.69</v>
      </c>
      <c r="Y15">
        <v>1</v>
      </c>
      <c r="Z15">
        <v>10</v>
      </c>
    </row>
    <row r="16" spans="1:26" x14ac:dyDescent="0.3">
      <c r="A16">
        <v>14</v>
      </c>
      <c r="B16">
        <v>125</v>
      </c>
      <c r="C16" t="s">
        <v>26</v>
      </c>
      <c r="D16">
        <v>5.6223999999999998</v>
      </c>
      <c r="E16">
        <v>17.79</v>
      </c>
      <c r="F16">
        <v>13.42</v>
      </c>
      <c r="G16">
        <v>23.69</v>
      </c>
      <c r="H16">
        <v>0.32</v>
      </c>
      <c r="I16">
        <v>34</v>
      </c>
      <c r="J16">
        <v>248.85</v>
      </c>
      <c r="K16">
        <v>58.47</v>
      </c>
      <c r="L16">
        <v>4.5</v>
      </c>
      <c r="M16">
        <v>32</v>
      </c>
      <c r="N16">
        <v>60.88</v>
      </c>
      <c r="O16">
        <v>30925.72</v>
      </c>
      <c r="P16">
        <v>205.15</v>
      </c>
      <c r="Q16">
        <v>988.13</v>
      </c>
      <c r="R16">
        <v>58.43</v>
      </c>
      <c r="S16">
        <v>35.43</v>
      </c>
      <c r="T16">
        <v>10356.32</v>
      </c>
      <c r="U16">
        <v>0.61</v>
      </c>
      <c r="V16">
        <v>0.85</v>
      </c>
      <c r="W16">
        <v>3.02</v>
      </c>
      <c r="X16">
        <v>0.67</v>
      </c>
      <c r="Y16">
        <v>1</v>
      </c>
      <c r="Z16">
        <v>10</v>
      </c>
    </row>
    <row r="17" spans="1:26" x14ac:dyDescent="0.3">
      <c r="A17">
        <v>15</v>
      </c>
      <c r="B17">
        <v>125</v>
      </c>
      <c r="C17" t="s">
        <v>26</v>
      </c>
      <c r="D17">
        <v>5.6654</v>
      </c>
      <c r="E17">
        <v>17.649999999999999</v>
      </c>
      <c r="F17">
        <v>13.38</v>
      </c>
      <c r="G17">
        <v>25.09</v>
      </c>
      <c r="H17">
        <v>0.34</v>
      </c>
      <c r="I17">
        <v>32</v>
      </c>
      <c r="J17">
        <v>249.3</v>
      </c>
      <c r="K17">
        <v>58.47</v>
      </c>
      <c r="L17">
        <v>4.75</v>
      </c>
      <c r="M17">
        <v>30</v>
      </c>
      <c r="N17">
        <v>61.07</v>
      </c>
      <c r="O17">
        <v>30980.93</v>
      </c>
      <c r="P17">
        <v>203.61</v>
      </c>
      <c r="Q17">
        <v>988.11</v>
      </c>
      <c r="R17">
        <v>57.21</v>
      </c>
      <c r="S17">
        <v>35.43</v>
      </c>
      <c r="T17">
        <v>9755.2800000000007</v>
      </c>
      <c r="U17">
        <v>0.62</v>
      </c>
      <c r="V17">
        <v>0.85</v>
      </c>
      <c r="W17">
        <v>3.02</v>
      </c>
      <c r="X17">
        <v>0.63</v>
      </c>
      <c r="Y17">
        <v>1</v>
      </c>
      <c r="Z17">
        <v>10</v>
      </c>
    </row>
    <row r="18" spans="1:26" x14ac:dyDescent="0.3">
      <c r="A18">
        <v>16</v>
      </c>
      <c r="B18">
        <v>125</v>
      </c>
      <c r="C18" t="s">
        <v>26</v>
      </c>
      <c r="D18">
        <v>5.7133000000000003</v>
      </c>
      <c r="E18">
        <v>17.5</v>
      </c>
      <c r="F18">
        <v>13.33</v>
      </c>
      <c r="G18">
        <v>26.66</v>
      </c>
      <c r="H18">
        <v>0.36</v>
      </c>
      <c r="I18">
        <v>30</v>
      </c>
      <c r="J18">
        <v>249.75</v>
      </c>
      <c r="K18">
        <v>58.47</v>
      </c>
      <c r="L18">
        <v>5</v>
      </c>
      <c r="M18">
        <v>28</v>
      </c>
      <c r="N18">
        <v>61.27</v>
      </c>
      <c r="O18">
        <v>31036.22</v>
      </c>
      <c r="P18">
        <v>202.19</v>
      </c>
      <c r="Q18">
        <v>988.2</v>
      </c>
      <c r="R18">
        <v>55.71</v>
      </c>
      <c r="S18">
        <v>35.43</v>
      </c>
      <c r="T18">
        <v>9017.67</v>
      </c>
      <c r="U18">
        <v>0.64</v>
      </c>
      <c r="V18">
        <v>0.86</v>
      </c>
      <c r="W18">
        <v>3.01</v>
      </c>
      <c r="X18">
        <v>0.57999999999999996</v>
      </c>
      <c r="Y18">
        <v>1</v>
      </c>
      <c r="Z18">
        <v>10</v>
      </c>
    </row>
    <row r="19" spans="1:26" x14ac:dyDescent="0.3">
      <c r="A19">
        <v>17</v>
      </c>
      <c r="B19">
        <v>125</v>
      </c>
      <c r="C19" t="s">
        <v>26</v>
      </c>
      <c r="D19">
        <v>5.7332000000000001</v>
      </c>
      <c r="E19">
        <v>17.440000000000001</v>
      </c>
      <c r="F19">
        <v>13.32</v>
      </c>
      <c r="G19">
        <v>27.55</v>
      </c>
      <c r="H19">
        <v>0.37</v>
      </c>
      <c r="I19">
        <v>29</v>
      </c>
      <c r="J19">
        <v>250.2</v>
      </c>
      <c r="K19">
        <v>58.47</v>
      </c>
      <c r="L19">
        <v>5.25</v>
      </c>
      <c r="M19">
        <v>27</v>
      </c>
      <c r="N19">
        <v>61.47</v>
      </c>
      <c r="O19">
        <v>31091.59</v>
      </c>
      <c r="P19">
        <v>201.32</v>
      </c>
      <c r="Q19">
        <v>988.14</v>
      </c>
      <c r="R19">
        <v>55.25</v>
      </c>
      <c r="S19">
        <v>35.43</v>
      </c>
      <c r="T19">
        <v>8789.64</v>
      </c>
      <c r="U19">
        <v>0.64</v>
      </c>
      <c r="V19">
        <v>0.86</v>
      </c>
      <c r="W19">
        <v>3.01</v>
      </c>
      <c r="X19">
        <v>0.56000000000000005</v>
      </c>
      <c r="Y19">
        <v>1</v>
      </c>
      <c r="Z19">
        <v>10</v>
      </c>
    </row>
    <row r="20" spans="1:26" x14ac:dyDescent="0.3">
      <c r="A20">
        <v>18</v>
      </c>
      <c r="B20">
        <v>125</v>
      </c>
      <c r="C20" t="s">
        <v>26</v>
      </c>
      <c r="D20">
        <v>5.7762000000000002</v>
      </c>
      <c r="E20">
        <v>17.309999999999999</v>
      </c>
      <c r="F20">
        <v>13.28</v>
      </c>
      <c r="G20">
        <v>29.51</v>
      </c>
      <c r="H20">
        <v>0.39</v>
      </c>
      <c r="I20">
        <v>27</v>
      </c>
      <c r="J20">
        <v>250.64</v>
      </c>
      <c r="K20">
        <v>58.47</v>
      </c>
      <c r="L20">
        <v>5.5</v>
      </c>
      <c r="M20">
        <v>25</v>
      </c>
      <c r="N20">
        <v>61.67</v>
      </c>
      <c r="O20">
        <v>31147.02</v>
      </c>
      <c r="P20">
        <v>199.82</v>
      </c>
      <c r="Q20">
        <v>988.15</v>
      </c>
      <c r="R20">
        <v>54.31</v>
      </c>
      <c r="S20">
        <v>35.43</v>
      </c>
      <c r="T20">
        <v>8332.4699999999993</v>
      </c>
      <c r="U20">
        <v>0.65</v>
      </c>
      <c r="V20">
        <v>0.86</v>
      </c>
      <c r="W20">
        <v>3</v>
      </c>
      <c r="X20">
        <v>0.53</v>
      </c>
      <c r="Y20">
        <v>1</v>
      </c>
      <c r="Z20">
        <v>10</v>
      </c>
    </row>
    <row r="21" spans="1:26" x14ac:dyDescent="0.3">
      <c r="A21">
        <v>19</v>
      </c>
      <c r="B21">
        <v>125</v>
      </c>
      <c r="C21" t="s">
        <v>26</v>
      </c>
      <c r="D21">
        <v>5.8029000000000002</v>
      </c>
      <c r="E21">
        <v>17.23</v>
      </c>
      <c r="F21">
        <v>13.25</v>
      </c>
      <c r="G21">
        <v>30.57</v>
      </c>
      <c r="H21">
        <v>0.41</v>
      </c>
      <c r="I21">
        <v>26</v>
      </c>
      <c r="J21">
        <v>251.09</v>
      </c>
      <c r="K21">
        <v>58.47</v>
      </c>
      <c r="L21">
        <v>5.75</v>
      </c>
      <c r="M21">
        <v>24</v>
      </c>
      <c r="N21">
        <v>61.87</v>
      </c>
      <c r="O21">
        <v>31202.53</v>
      </c>
      <c r="P21">
        <v>198.7</v>
      </c>
      <c r="Q21">
        <v>988.18</v>
      </c>
      <c r="R21">
        <v>53.1</v>
      </c>
      <c r="S21">
        <v>35.43</v>
      </c>
      <c r="T21">
        <v>7730.9</v>
      </c>
      <c r="U21">
        <v>0.67</v>
      </c>
      <c r="V21">
        <v>0.86</v>
      </c>
      <c r="W21">
        <v>3.01</v>
      </c>
      <c r="X21">
        <v>0.49</v>
      </c>
      <c r="Y21">
        <v>1</v>
      </c>
      <c r="Z21">
        <v>10</v>
      </c>
    </row>
    <row r="22" spans="1:26" x14ac:dyDescent="0.3">
      <c r="A22">
        <v>20</v>
      </c>
      <c r="B22">
        <v>125</v>
      </c>
      <c r="C22" t="s">
        <v>26</v>
      </c>
      <c r="D22">
        <v>5.8228</v>
      </c>
      <c r="E22">
        <v>17.170000000000002</v>
      </c>
      <c r="F22">
        <v>13.24</v>
      </c>
      <c r="G22">
        <v>31.77</v>
      </c>
      <c r="H22">
        <v>0.42</v>
      </c>
      <c r="I22">
        <v>25</v>
      </c>
      <c r="J22">
        <v>251.55</v>
      </c>
      <c r="K22">
        <v>58.47</v>
      </c>
      <c r="L22">
        <v>6</v>
      </c>
      <c r="M22">
        <v>23</v>
      </c>
      <c r="N22">
        <v>62.07</v>
      </c>
      <c r="O22">
        <v>31258.11</v>
      </c>
      <c r="P22">
        <v>197.83</v>
      </c>
      <c r="Q22">
        <v>988.25</v>
      </c>
      <c r="R22">
        <v>52.85</v>
      </c>
      <c r="S22">
        <v>35.43</v>
      </c>
      <c r="T22">
        <v>7608.67</v>
      </c>
      <c r="U22">
        <v>0.67</v>
      </c>
      <c r="V22">
        <v>0.86</v>
      </c>
      <c r="W22">
        <v>3</v>
      </c>
      <c r="X22">
        <v>0.48</v>
      </c>
      <c r="Y22">
        <v>1</v>
      </c>
      <c r="Z22">
        <v>10</v>
      </c>
    </row>
    <row r="23" spans="1:26" x14ac:dyDescent="0.3">
      <c r="A23">
        <v>21</v>
      </c>
      <c r="B23">
        <v>125</v>
      </c>
      <c r="C23" t="s">
        <v>26</v>
      </c>
      <c r="D23">
        <v>5.8517000000000001</v>
      </c>
      <c r="E23">
        <v>17.09</v>
      </c>
      <c r="F23">
        <v>13.2</v>
      </c>
      <c r="G23">
        <v>33</v>
      </c>
      <c r="H23">
        <v>0.44</v>
      </c>
      <c r="I23">
        <v>24</v>
      </c>
      <c r="J23">
        <v>252</v>
      </c>
      <c r="K23">
        <v>58.47</v>
      </c>
      <c r="L23">
        <v>6.25</v>
      </c>
      <c r="M23">
        <v>22</v>
      </c>
      <c r="N23">
        <v>62.27</v>
      </c>
      <c r="O23">
        <v>31313.77</v>
      </c>
      <c r="P23">
        <v>196.42</v>
      </c>
      <c r="Q23">
        <v>988.09</v>
      </c>
      <c r="R23">
        <v>51.63</v>
      </c>
      <c r="S23">
        <v>35.43</v>
      </c>
      <c r="T23">
        <v>7007.37</v>
      </c>
      <c r="U23">
        <v>0.69</v>
      </c>
      <c r="V23">
        <v>0.86</v>
      </c>
      <c r="W23">
        <v>3</v>
      </c>
      <c r="X23">
        <v>0.45</v>
      </c>
      <c r="Y23">
        <v>1</v>
      </c>
      <c r="Z23">
        <v>10</v>
      </c>
    </row>
    <row r="24" spans="1:26" x14ac:dyDescent="0.3">
      <c r="A24">
        <v>22</v>
      </c>
      <c r="B24">
        <v>125</v>
      </c>
      <c r="C24" t="s">
        <v>26</v>
      </c>
      <c r="D24">
        <v>5.8715999999999999</v>
      </c>
      <c r="E24">
        <v>17.03</v>
      </c>
      <c r="F24">
        <v>13.19</v>
      </c>
      <c r="G24">
        <v>34.4</v>
      </c>
      <c r="H24">
        <v>0.46</v>
      </c>
      <c r="I24">
        <v>23</v>
      </c>
      <c r="J24">
        <v>252.45</v>
      </c>
      <c r="K24">
        <v>58.47</v>
      </c>
      <c r="L24">
        <v>6.5</v>
      </c>
      <c r="M24">
        <v>21</v>
      </c>
      <c r="N24">
        <v>62.47</v>
      </c>
      <c r="O24">
        <v>31369.49</v>
      </c>
      <c r="P24">
        <v>195.63</v>
      </c>
      <c r="Q24">
        <v>988.1</v>
      </c>
      <c r="R24">
        <v>51.27</v>
      </c>
      <c r="S24">
        <v>35.43</v>
      </c>
      <c r="T24">
        <v>6829.29</v>
      </c>
      <c r="U24">
        <v>0.69</v>
      </c>
      <c r="V24">
        <v>0.86</v>
      </c>
      <c r="W24">
        <v>3</v>
      </c>
      <c r="X24">
        <v>0.43</v>
      </c>
      <c r="Y24">
        <v>1</v>
      </c>
      <c r="Z24">
        <v>10</v>
      </c>
    </row>
    <row r="25" spans="1:26" x14ac:dyDescent="0.3">
      <c r="A25">
        <v>23</v>
      </c>
      <c r="B25">
        <v>125</v>
      </c>
      <c r="C25" t="s">
        <v>26</v>
      </c>
      <c r="D25">
        <v>5.8951000000000002</v>
      </c>
      <c r="E25">
        <v>16.96</v>
      </c>
      <c r="F25">
        <v>13.17</v>
      </c>
      <c r="G25">
        <v>35.909999999999997</v>
      </c>
      <c r="H25">
        <v>0.47</v>
      </c>
      <c r="I25">
        <v>22</v>
      </c>
      <c r="J25">
        <v>252.9</v>
      </c>
      <c r="K25">
        <v>58.47</v>
      </c>
      <c r="L25">
        <v>6.75</v>
      </c>
      <c r="M25">
        <v>20</v>
      </c>
      <c r="N25">
        <v>62.68</v>
      </c>
      <c r="O25">
        <v>31425.3</v>
      </c>
      <c r="P25">
        <v>194.64</v>
      </c>
      <c r="Q25">
        <v>988.12</v>
      </c>
      <c r="R25">
        <v>50.67</v>
      </c>
      <c r="S25">
        <v>35.43</v>
      </c>
      <c r="T25">
        <v>6536.69</v>
      </c>
      <c r="U25">
        <v>0.7</v>
      </c>
      <c r="V25">
        <v>0.87</v>
      </c>
      <c r="W25">
        <v>3</v>
      </c>
      <c r="X25">
        <v>0.41</v>
      </c>
      <c r="Y25">
        <v>1</v>
      </c>
      <c r="Z25">
        <v>10</v>
      </c>
    </row>
    <row r="26" spans="1:26" x14ac:dyDescent="0.3">
      <c r="A26">
        <v>24</v>
      </c>
      <c r="B26">
        <v>125</v>
      </c>
      <c r="C26" t="s">
        <v>26</v>
      </c>
      <c r="D26">
        <v>5.9145000000000003</v>
      </c>
      <c r="E26">
        <v>16.91</v>
      </c>
      <c r="F26">
        <v>13.16</v>
      </c>
      <c r="G26">
        <v>37.6</v>
      </c>
      <c r="H26">
        <v>0.49</v>
      </c>
      <c r="I26">
        <v>21</v>
      </c>
      <c r="J26">
        <v>253.35</v>
      </c>
      <c r="K26">
        <v>58.47</v>
      </c>
      <c r="L26">
        <v>7</v>
      </c>
      <c r="M26">
        <v>19</v>
      </c>
      <c r="N26">
        <v>62.88</v>
      </c>
      <c r="O26">
        <v>31481.17</v>
      </c>
      <c r="P26">
        <v>193.73</v>
      </c>
      <c r="Q26">
        <v>988.18</v>
      </c>
      <c r="R26">
        <v>50.26</v>
      </c>
      <c r="S26">
        <v>35.43</v>
      </c>
      <c r="T26">
        <v>6334.99</v>
      </c>
      <c r="U26">
        <v>0.71</v>
      </c>
      <c r="V26">
        <v>0.87</v>
      </c>
      <c r="W26">
        <v>3</v>
      </c>
      <c r="X26">
        <v>0.4</v>
      </c>
      <c r="Y26">
        <v>1</v>
      </c>
      <c r="Z26">
        <v>10</v>
      </c>
    </row>
    <row r="27" spans="1:26" x14ac:dyDescent="0.3">
      <c r="A27">
        <v>25</v>
      </c>
      <c r="B27">
        <v>125</v>
      </c>
      <c r="C27" t="s">
        <v>26</v>
      </c>
      <c r="D27">
        <v>5.9394999999999998</v>
      </c>
      <c r="E27">
        <v>16.84</v>
      </c>
      <c r="F27">
        <v>13.13</v>
      </c>
      <c r="G27">
        <v>39.409999999999997</v>
      </c>
      <c r="H27">
        <v>0.51</v>
      </c>
      <c r="I27">
        <v>20</v>
      </c>
      <c r="J27">
        <v>253.81</v>
      </c>
      <c r="K27">
        <v>58.47</v>
      </c>
      <c r="L27">
        <v>7.25</v>
      </c>
      <c r="M27">
        <v>18</v>
      </c>
      <c r="N27">
        <v>63.08</v>
      </c>
      <c r="O27">
        <v>31537.13</v>
      </c>
      <c r="P27">
        <v>192.51</v>
      </c>
      <c r="Q27">
        <v>988.15</v>
      </c>
      <c r="R27">
        <v>49.5</v>
      </c>
      <c r="S27">
        <v>35.43</v>
      </c>
      <c r="T27">
        <v>5958.65</v>
      </c>
      <c r="U27">
        <v>0.72</v>
      </c>
      <c r="V27">
        <v>0.87</v>
      </c>
      <c r="W27">
        <v>3</v>
      </c>
      <c r="X27">
        <v>0.38</v>
      </c>
      <c r="Y27">
        <v>1</v>
      </c>
      <c r="Z27">
        <v>10</v>
      </c>
    </row>
    <row r="28" spans="1:26" x14ac:dyDescent="0.3">
      <c r="A28">
        <v>26</v>
      </c>
      <c r="B28">
        <v>125</v>
      </c>
      <c r="C28" t="s">
        <v>26</v>
      </c>
      <c r="D28">
        <v>5.9432</v>
      </c>
      <c r="E28">
        <v>16.829999999999998</v>
      </c>
      <c r="F28">
        <v>13.12</v>
      </c>
      <c r="G28">
        <v>39.369999999999997</v>
      </c>
      <c r="H28">
        <v>0.52</v>
      </c>
      <c r="I28">
        <v>20</v>
      </c>
      <c r="J28">
        <v>254.26</v>
      </c>
      <c r="K28">
        <v>58.47</v>
      </c>
      <c r="L28">
        <v>7.5</v>
      </c>
      <c r="M28">
        <v>18</v>
      </c>
      <c r="N28">
        <v>63.29</v>
      </c>
      <c r="O28">
        <v>31593.16</v>
      </c>
      <c r="P28">
        <v>191.7</v>
      </c>
      <c r="Q28">
        <v>988.29</v>
      </c>
      <c r="R28">
        <v>49.12</v>
      </c>
      <c r="S28">
        <v>35.43</v>
      </c>
      <c r="T28">
        <v>5771.68</v>
      </c>
      <c r="U28">
        <v>0.72</v>
      </c>
      <c r="V28">
        <v>0.87</v>
      </c>
      <c r="W28">
        <v>3</v>
      </c>
      <c r="X28">
        <v>0.37</v>
      </c>
      <c r="Y28">
        <v>1</v>
      </c>
      <c r="Z28">
        <v>10</v>
      </c>
    </row>
    <row r="29" spans="1:26" x14ac:dyDescent="0.3">
      <c r="A29">
        <v>27</v>
      </c>
      <c r="B29">
        <v>125</v>
      </c>
      <c r="C29" t="s">
        <v>26</v>
      </c>
      <c r="D29">
        <v>5.9652000000000003</v>
      </c>
      <c r="E29">
        <v>16.760000000000002</v>
      </c>
      <c r="F29">
        <v>13.11</v>
      </c>
      <c r="G29">
        <v>41.4</v>
      </c>
      <c r="H29">
        <v>0.54</v>
      </c>
      <c r="I29">
        <v>19</v>
      </c>
      <c r="J29">
        <v>254.72</v>
      </c>
      <c r="K29">
        <v>58.47</v>
      </c>
      <c r="L29">
        <v>7.75</v>
      </c>
      <c r="M29">
        <v>17</v>
      </c>
      <c r="N29">
        <v>63.49</v>
      </c>
      <c r="O29">
        <v>31649.26</v>
      </c>
      <c r="P29">
        <v>190.71</v>
      </c>
      <c r="Q29">
        <v>988.09</v>
      </c>
      <c r="R29">
        <v>48.87</v>
      </c>
      <c r="S29">
        <v>35.43</v>
      </c>
      <c r="T29">
        <v>5649.45</v>
      </c>
      <c r="U29">
        <v>0.73</v>
      </c>
      <c r="V29">
        <v>0.87</v>
      </c>
      <c r="W29">
        <v>2.99</v>
      </c>
      <c r="X29">
        <v>0.36</v>
      </c>
      <c r="Y29">
        <v>1</v>
      </c>
      <c r="Z29">
        <v>10</v>
      </c>
    </row>
    <row r="30" spans="1:26" x14ac:dyDescent="0.3">
      <c r="A30">
        <v>28</v>
      </c>
      <c r="B30">
        <v>125</v>
      </c>
      <c r="C30" t="s">
        <v>26</v>
      </c>
      <c r="D30">
        <v>5.9859999999999998</v>
      </c>
      <c r="E30">
        <v>16.71</v>
      </c>
      <c r="F30">
        <v>13.1</v>
      </c>
      <c r="G30">
        <v>43.66</v>
      </c>
      <c r="H30">
        <v>0.56000000000000005</v>
      </c>
      <c r="I30">
        <v>18</v>
      </c>
      <c r="J30">
        <v>255.17</v>
      </c>
      <c r="K30">
        <v>58.47</v>
      </c>
      <c r="L30">
        <v>8</v>
      </c>
      <c r="M30">
        <v>16</v>
      </c>
      <c r="N30">
        <v>63.7</v>
      </c>
      <c r="O30">
        <v>31705.439999999999</v>
      </c>
      <c r="P30">
        <v>189.43</v>
      </c>
      <c r="Q30">
        <v>988.15</v>
      </c>
      <c r="R30">
        <v>48.41</v>
      </c>
      <c r="S30">
        <v>35.43</v>
      </c>
      <c r="T30">
        <v>5428.23</v>
      </c>
      <c r="U30">
        <v>0.73</v>
      </c>
      <c r="V30">
        <v>0.87</v>
      </c>
      <c r="W30">
        <v>3</v>
      </c>
      <c r="X30">
        <v>0.34</v>
      </c>
      <c r="Y30">
        <v>1</v>
      </c>
      <c r="Z30">
        <v>10</v>
      </c>
    </row>
    <row r="31" spans="1:26" x14ac:dyDescent="0.3">
      <c r="A31">
        <v>29</v>
      </c>
      <c r="B31">
        <v>125</v>
      </c>
      <c r="C31" t="s">
        <v>26</v>
      </c>
      <c r="D31">
        <v>5.9869000000000003</v>
      </c>
      <c r="E31">
        <v>16.7</v>
      </c>
      <c r="F31">
        <v>13.1</v>
      </c>
      <c r="G31">
        <v>43.65</v>
      </c>
      <c r="H31">
        <v>0.56999999999999995</v>
      </c>
      <c r="I31">
        <v>18</v>
      </c>
      <c r="J31">
        <v>255.63</v>
      </c>
      <c r="K31">
        <v>58.47</v>
      </c>
      <c r="L31">
        <v>8.25</v>
      </c>
      <c r="M31">
        <v>16</v>
      </c>
      <c r="N31">
        <v>63.91</v>
      </c>
      <c r="O31">
        <v>31761.69</v>
      </c>
      <c r="P31">
        <v>188.84</v>
      </c>
      <c r="Q31">
        <v>988.19</v>
      </c>
      <c r="R31">
        <v>48.45</v>
      </c>
      <c r="S31">
        <v>35.43</v>
      </c>
      <c r="T31">
        <v>5445.05</v>
      </c>
      <c r="U31">
        <v>0.73</v>
      </c>
      <c r="V31">
        <v>0.87</v>
      </c>
      <c r="W31">
        <v>2.99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125</v>
      </c>
      <c r="C32" t="s">
        <v>26</v>
      </c>
      <c r="D32">
        <v>6.0133000000000001</v>
      </c>
      <c r="E32">
        <v>16.63</v>
      </c>
      <c r="F32">
        <v>13.07</v>
      </c>
      <c r="G32">
        <v>46.13</v>
      </c>
      <c r="H32">
        <v>0.59</v>
      </c>
      <c r="I32">
        <v>17</v>
      </c>
      <c r="J32">
        <v>256.08999999999997</v>
      </c>
      <c r="K32">
        <v>58.47</v>
      </c>
      <c r="L32">
        <v>8.5</v>
      </c>
      <c r="M32">
        <v>15</v>
      </c>
      <c r="N32">
        <v>64.11</v>
      </c>
      <c r="O32">
        <v>31818.02</v>
      </c>
      <c r="P32">
        <v>186.67</v>
      </c>
      <c r="Q32">
        <v>988.15</v>
      </c>
      <c r="R32">
        <v>47.58</v>
      </c>
      <c r="S32">
        <v>35.43</v>
      </c>
      <c r="T32">
        <v>5014.6000000000004</v>
      </c>
      <c r="U32">
        <v>0.74</v>
      </c>
      <c r="V32">
        <v>0.87</v>
      </c>
      <c r="W32">
        <v>2.99</v>
      </c>
      <c r="X32">
        <v>0.32</v>
      </c>
      <c r="Y32">
        <v>1</v>
      </c>
      <c r="Z32">
        <v>10</v>
      </c>
    </row>
    <row r="33" spans="1:26" x14ac:dyDescent="0.3">
      <c r="A33">
        <v>31</v>
      </c>
      <c r="B33">
        <v>125</v>
      </c>
      <c r="C33" t="s">
        <v>26</v>
      </c>
      <c r="D33">
        <v>6.0119999999999996</v>
      </c>
      <c r="E33">
        <v>16.63</v>
      </c>
      <c r="F33">
        <v>13.07</v>
      </c>
      <c r="G33">
        <v>46.14</v>
      </c>
      <c r="H33">
        <v>0.61</v>
      </c>
      <c r="I33">
        <v>17</v>
      </c>
      <c r="J33">
        <v>256.54000000000002</v>
      </c>
      <c r="K33">
        <v>58.47</v>
      </c>
      <c r="L33">
        <v>8.75</v>
      </c>
      <c r="M33">
        <v>15</v>
      </c>
      <c r="N33">
        <v>64.319999999999993</v>
      </c>
      <c r="O33">
        <v>31874.43</v>
      </c>
      <c r="P33">
        <v>186.33</v>
      </c>
      <c r="Q33">
        <v>988.09</v>
      </c>
      <c r="R33">
        <v>47.86</v>
      </c>
      <c r="S33">
        <v>35.43</v>
      </c>
      <c r="T33">
        <v>5156.54</v>
      </c>
      <c r="U33">
        <v>0.74</v>
      </c>
      <c r="V33">
        <v>0.87</v>
      </c>
      <c r="W33">
        <v>2.99</v>
      </c>
      <c r="X33">
        <v>0.32</v>
      </c>
      <c r="Y33">
        <v>1</v>
      </c>
      <c r="Z33">
        <v>10</v>
      </c>
    </row>
    <row r="34" spans="1:26" x14ac:dyDescent="0.3">
      <c r="A34">
        <v>32</v>
      </c>
      <c r="B34">
        <v>125</v>
      </c>
      <c r="C34" t="s">
        <v>26</v>
      </c>
      <c r="D34">
        <v>6.0365000000000002</v>
      </c>
      <c r="E34">
        <v>16.57</v>
      </c>
      <c r="F34">
        <v>13.05</v>
      </c>
      <c r="G34">
        <v>48.95</v>
      </c>
      <c r="H34">
        <v>0.62</v>
      </c>
      <c r="I34">
        <v>16</v>
      </c>
      <c r="J34">
        <v>257</v>
      </c>
      <c r="K34">
        <v>58.47</v>
      </c>
      <c r="L34">
        <v>9</v>
      </c>
      <c r="M34">
        <v>14</v>
      </c>
      <c r="N34">
        <v>64.53</v>
      </c>
      <c r="O34">
        <v>31931.040000000001</v>
      </c>
      <c r="P34">
        <v>185.61</v>
      </c>
      <c r="Q34">
        <v>988.09</v>
      </c>
      <c r="R34">
        <v>46.91</v>
      </c>
      <c r="S34">
        <v>35.43</v>
      </c>
      <c r="T34">
        <v>4685.95</v>
      </c>
      <c r="U34">
        <v>0.76</v>
      </c>
      <c r="V34">
        <v>0.87</v>
      </c>
      <c r="W34">
        <v>2.99</v>
      </c>
      <c r="X34">
        <v>0.3</v>
      </c>
      <c r="Y34">
        <v>1</v>
      </c>
      <c r="Z34">
        <v>10</v>
      </c>
    </row>
    <row r="35" spans="1:26" x14ac:dyDescent="0.3">
      <c r="A35">
        <v>33</v>
      </c>
      <c r="B35">
        <v>125</v>
      </c>
      <c r="C35" t="s">
        <v>26</v>
      </c>
      <c r="D35">
        <v>6.0347999999999997</v>
      </c>
      <c r="E35">
        <v>16.57</v>
      </c>
      <c r="F35">
        <v>13.06</v>
      </c>
      <c r="G35">
        <v>48.97</v>
      </c>
      <c r="H35">
        <v>0.64</v>
      </c>
      <c r="I35">
        <v>16</v>
      </c>
      <c r="J35">
        <v>257.45999999999998</v>
      </c>
      <c r="K35">
        <v>58.47</v>
      </c>
      <c r="L35">
        <v>9.25</v>
      </c>
      <c r="M35">
        <v>14</v>
      </c>
      <c r="N35">
        <v>64.739999999999995</v>
      </c>
      <c r="O35">
        <v>31987.61</v>
      </c>
      <c r="P35">
        <v>184.96</v>
      </c>
      <c r="Q35">
        <v>988.08</v>
      </c>
      <c r="R35">
        <v>47.36</v>
      </c>
      <c r="S35">
        <v>35.43</v>
      </c>
      <c r="T35">
        <v>4910.04</v>
      </c>
      <c r="U35">
        <v>0.75</v>
      </c>
      <c r="V35">
        <v>0.87</v>
      </c>
      <c r="W35">
        <v>2.99</v>
      </c>
      <c r="X35">
        <v>0.3</v>
      </c>
      <c r="Y35">
        <v>1</v>
      </c>
      <c r="Z35">
        <v>10</v>
      </c>
    </row>
    <row r="36" spans="1:26" x14ac:dyDescent="0.3">
      <c r="A36">
        <v>34</v>
      </c>
      <c r="B36">
        <v>125</v>
      </c>
      <c r="C36" t="s">
        <v>26</v>
      </c>
      <c r="D36">
        <v>6.0587999999999997</v>
      </c>
      <c r="E36">
        <v>16.5</v>
      </c>
      <c r="F36">
        <v>13.04</v>
      </c>
      <c r="G36">
        <v>52.16</v>
      </c>
      <c r="H36">
        <v>0.66</v>
      </c>
      <c r="I36">
        <v>15</v>
      </c>
      <c r="J36">
        <v>257.92</v>
      </c>
      <c r="K36">
        <v>58.47</v>
      </c>
      <c r="L36">
        <v>9.5</v>
      </c>
      <c r="M36">
        <v>13</v>
      </c>
      <c r="N36">
        <v>64.95</v>
      </c>
      <c r="O36">
        <v>32044.25</v>
      </c>
      <c r="P36">
        <v>183.81</v>
      </c>
      <c r="Q36">
        <v>988.14</v>
      </c>
      <c r="R36">
        <v>46.81</v>
      </c>
      <c r="S36">
        <v>35.43</v>
      </c>
      <c r="T36">
        <v>4642.7700000000004</v>
      </c>
      <c r="U36">
        <v>0.76</v>
      </c>
      <c r="V36">
        <v>0.87</v>
      </c>
      <c r="W36">
        <v>2.99</v>
      </c>
      <c r="X36">
        <v>0.28999999999999998</v>
      </c>
      <c r="Y36">
        <v>1</v>
      </c>
      <c r="Z36">
        <v>10</v>
      </c>
    </row>
    <row r="37" spans="1:26" x14ac:dyDescent="0.3">
      <c r="A37">
        <v>35</v>
      </c>
      <c r="B37">
        <v>125</v>
      </c>
      <c r="C37" t="s">
        <v>26</v>
      </c>
      <c r="D37">
        <v>6.0616000000000003</v>
      </c>
      <c r="E37">
        <v>16.5</v>
      </c>
      <c r="F37">
        <v>13.03</v>
      </c>
      <c r="G37">
        <v>52.13</v>
      </c>
      <c r="H37">
        <v>0.67</v>
      </c>
      <c r="I37">
        <v>15</v>
      </c>
      <c r="J37">
        <v>258.38</v>
      </c>
      <c r="K37">
        <v>58.47</v>
      </c>
      <c r="L37">
        <v>9.75</v>
      </c>
      <c r="M37">
        <v>13</v>
      </c>
      <c r="N37">
        <v>65.16</v>
      </c>
      <c r="O37">
        <v>32100.97</v>
      </c>
      <c r="P37">
        <v>182.72</v>
      </c>
      <c r="Q37">
        <v>988.16</v>
      </c>
      <c r="R37">
        <v>46.44</v>
      </c>
      <c r="S37">
        <v>35.43</v>
      </c>
      <c r="T37">
        <v>4456.99</v>
      </c>
      <c r="U37">
        <v>0.76</v>
      </c>
      <c r="V37">
        <v>0.87</v>
      </c>
      <c r="W37">
        <v>2.99</v>
      </c>
      <c r="X37">
        <v>0.28000000000000003</v>
      </c>
      <c r="Y37">
        <v>1</v>
      </c>
      <c r="Z37">
        <v>10</v>
      </c>
    </row>
    <row r="38" spans="1:26" x14ac:dyDescent="0.3">
      <c r="A38">
        <v>36</v>
      </c>
      <c r="B38">
        <v>125</v>
      </c>
      <c r="C38" t="s">
        <v>26</v>
      </c>
      <c r="D38">
        <v>6.0831999999999997</v>
      </c>
      <c r="E38">
        <v>16.440000000000001</v>
      </c>
      <c r="F38">
        <v>13.02</v>
      </c>
      <c r="G38">
        <v>55.8</v>
      </c>
      <c r="H38">
        <v>0.69</v>
      </c>
      <c r="I38">
        <v>14</v>
      </c>
      <c r="J38">
        <v>258.83999999999997</v>
      </c>
      <c r="K38">
        <v>58.47</v>
      </c>
      <c r="L38">
        <v>10</v>
      </c>
      <c r="M38">
        <v>12</v>
      </c>
      <c r="N38">
        <v>65.37</v>
      </c>
      <c r="O38">
        <v>32157.77</v>
      </c>
      <c r="P38">
        <v>181.69</v>
      </c>
      <c r="Q38">
        <v>988.1</v>
      </c>
      <c r="R38">
        <v>46</v>
      </c>
      <c r="S38">
        <v>35.43</v>
      </c>
      <c r="T38">
        <v>4241.8599999999997</v>
      </c>
      <c r="U38">
        <v>0.77</v>
      </c>
      <c r="V38">
        <v>0.88</v>
      </c>
      <c r="W38">
        <v>2.99</v>
      </c>
      <c r="X38">
        <v>0.27</v>
      </c>
      <c r="Y38">
        <v>1</v>
      </c>
      <c r="Z38">
        <v>10</v>
      </c>
    </row>
    <row r="39" spans="1:26" x14ac:dyDescent="0.3">
      <c r="A39">
        <v>37</v>
      </c>
      <c r="B39">
        <v>125</v>
      </c>
      <c r="C39" t="s">
        <v>26</v>
      </c>
      <c r="D39">
        <v>6.0891000000000002</v>
      </c>
      <c r="E39">
        <v>16.420000000000002</v>
      </c>
      <c r="F39">
        <v>13</v>
      </c>
      <c r="G39">
        <v>55.73</v>
      </c>
      <c r="H39">
        <v>0.7</v>
      </c>
      <c r="I39">
        <v>14</v>
      </c>
      <c r="J39">
        <v>259.3</v>
      </c>
      <c r="K39">
        <v>58.47</v>
      </c>
      <c r="L39">
        <v>10.25</v>
      </c>
      <c r="M39">
        <v>12</v>
      </c>
      <c r="N39">
        <v>65.58</v>
      </c>
      <c r="O39">
        <v>32214.639999999999</v>
      </c>
      <c r="P39">
        <v>181.13</v>
      </c>
      <c r="Q39">
        <v>988.08</v>
      </c>
      <c r="R39">
        <v>45.51</v>
      </c>
      <c r="S39">
        <v>35.43</v>
      </c>
      <c r="T39">
        <v>3996.48</v>
      </c>
      <c r="U39">
        <v>0.78</v>
      </c>
      <c r="V39">
        <v>0.88</v>
      </c>
      <c r="W39">
        <v>2.99</v>
      </c>
      <c r="X39">
        <v>0.25</v>
      </c>
      <c r="Y39">
        <v>1</v>
      </c>
      <c r="Z39">
        <v>10</v>
      </c>
    </row>
    <row r="40" spans="1:26" x14ac:dyDescent="0.3">
      <c r="A40">
        <v>38</v>
      </c>
      <c r="B40">
        <v>125</v>
      </c>
      <c r="C40" t="s">
        <v>26</v>
      </c>
      <c r="D40">
        <v>6.0910000000000002</v>
      </c>
      <c r="E40">
        <v>16.420000000000002</v>
      </c>
      <c r="F40">
        <v>13</v>
      </c>
      <c r="G40">
        <v>55.71</v>
      </c>
      <c r="H40">
        <v>0.72</v>
      </c>
      <c r="I40">
        <v>14</v>
      </c>
      <c r="J40">
        <v>259.76</v>
      </c>
      <c r="K40">
        <v>58.47</v>
      </c>
      <c r="L40">
        <v>10.5</v>
      </c>
      <c r="M40">
        <v>12</v>
      </c>
      <c r="N40">
        <v>65.790000000000006</v>
      </c>
      <c r="O40">
        <v>32271.599999999999</v>
      </c>
      <c r="P40">
        <v>180.04</v>
      </c>
      <c r="Q40">
        <v>988.22</v>
      </c>
      <c r="R40">
        <v>45.31</v>
      </c>
      <c r="S40">
        <v>35.43</v>
      </c>
      <c r="T40">
        <v>3898.56</v>
      </c>
      <c r="U40">
        <v>0.78</v>
      </c>
      <c r="V40">
        <v>0.88</v>
      </c>
      <c r="W40">
        <v>2.99</v>
      </c>
      <c r="X40">
        <v>0.25</v>
      </c>
      <c r="Y40">
        <v>1</v>
      </c>
      <c r="Z40">
        <v>10</v>
      </c>
    </row>
    <row r="41" spans="1:26" x14ac:dyDescent="0.3">
      <c r="A41">
        <v>39</v>
      </c>
      <c r="B41">
        <v>125</v>
      </c>
      <c r="C41" t="s">
        <v>26</v>
      </c>
      <c r="D41">
        <v>6.1105</v>
      </c>
      <c r="E41">
        <v>16.37</v>
      </c>
      <c r="F41">
        <v>12.99</v>
      </c>
      <c r="G41">
        <v>59.97</v>
      </c>
      <c r="H41">
        <v>0.74</v>
      </c>
      <c r="I41">
        <v>13</v>
      </c>
      <c r="J41">
        <v>260.23</v>
      </c>
      <c r="K41">
        <v>58.47</v>
      </c>
      <c r="L41">
        <v>10.75</v>
      </c>
      <c r="M41">
        <v>11</v>
      </c>
      <c r="N41">
        <v>66</v>
      </c>
      <c r="O41">
        <v>32328.639999999999</v>
      </c>
      <c r="P41">
        <v>178.52</v>
      </c>
      <c r="Q41">
        <v>988.08</v>
      </c>
      <c r="R41">
        <v>45.32</v>
      </c>
      <c r="S41">
        <v>35.43</v>
      </c>
      <c r="T41">
        <v>3906.93</v>
      </c>
      <c r="U41">
        <v>0.78</v>
      </c>
      <c r="V41">
        <v>0.88</v>
      </c>
      <c r="W41">
        <v>2.98</v>
      </c>
      <c r="X41">
        <v>0.24</v>
      </c>
      <c r="Y41">
        <v>1</v>
      </c>
      <c r="Z41">
        <v>10</v>
      </c>
    </row>
    <row r="42" spans="1:26" x14ac:dyDescent="0.3">
      <c r="A42">
        <v>40</v>
      </c>
      <c r="B42">
        <v>125</v>
      </c>
      <c r="C42" t="s">
        <v>26</v>
      </c>
      <c r="D42">
        <v>6.1097000000000001</v>
      </c>
      <c r="E42">
        <v>16.37</v>
      </c>
      <c r="F42">
        <v>13</v>
      </c>
      <c r="G42">
        <v>59.98</v>
      </c>
      <c r="H42">
        <v>0.75</v>
      </c>
      <c r="I42">
        <v>13</v>
      </c>
      <c r="J42">
        <v>260.69</v>
      </c>
      <c r="K42">
        <v>58.47</v>
      </c>
      <c r="L42">
        <v>11</v>
      </c>
      <c r="M42">
        <v>11</v>
      </c>
      <c r="N42">
        <v>66.209999999999994</v>
      </c>
      <c r="O42">
        <v>32385.75</v>
      </c>
      <c r="P42">
        <v>178.14</v>
      </c>
      <c r="Q42">
        <v>988.08</v>
      </c>
      <c r="R42">
        <v>45.27</v>
      </c>
      <c r="S42">
        <v>35.43</v>
      </c>
      <c r="T42">
        <v>3883.46</v>
      </c>
      <c r="U42">
        <v>0.78</v>
      </c>
      <c r="V42">
        <v>0.88</v>
      </c>
      <c r="W42">
        <v>2.99</v>
      </c>
      <c r="X42">
        <v>0.24</v>
      </c>
      <c r="Y42">
        <v>1</v>
      </c>
      <c r="Z42">
        <v>10</v>
      </c>
    </row>
    <row r="43" spans="1:26" x14ac:dyDescent="0.3">
      <c r="A43">
        <v>41</v>
      </c>
      <c r="B43">
        <v>125</v>
      </c>
      <c r="C43" t="s">
        <v>26</v>
      </c>
      <c r="D43">
        <v>6.1147999999999998</v>
      </c>
      <c r="E43">
        <v>16.350000000000001</v>
      </c>
      <c r="F43">
        <v>12.98</v>
      </c>
      <c r="G43">
        <v>59.92</v>
      </c>
      <c r="H43">
        <v>0.77</v>
      </c>
      <c r="I43">
        <v>13</v>
      </c>
      <c r="J43">
        <v>261.14999999999998</v>
      </c>
      <c r="K43">
        <v>58.47</v>
      </c>
      <c r="L43">
        <v>11.25</v>
      </c>
      <c r="M43">
        <v>11</v>
      </c>
      <c r="N43">
        <v>66.430000000000007</v>
      </c>
      <c r="O43">
        <v>32442.95</v>
      </c>
      <c r="P43">
        <v>177.14</v>
      </c>
      <c r="Q43">
        <v>988.13</v>
      </c>
      <c r="R43">
        <v>44.82</v>
      </c>
      <c r="S43">
        <v>35.43</v>
      </c>
      <c r="T43">
        <v>3655.83</v>
      </c>
      <c r="U43">
        <v>0.79</v>
      </c>
      <c r="V43">
        <v>0.88</v>
      </c>
      <c r="W43">
        <v>2.99</v>
      </c>
      <c r="X43">
        <v>0.23</v>
      </c>
      <c r="Y43">
        <v>1</v>
      </c>
      <c r="Z43">
        <v>10</v>
      </c>
    </row>
    <row r="44" spans="1:26" x14ac:dyDescent="0.3">
      <c r="A44">
        <v>42</v>
      </c>
      <c r="B44">
        <v>125</v>
      </c>
      <c r="C44" t="s">
        <v>26</v>
      </c>
      <c r="D44">
        <v>6.1378000000000004</v>
      </c>
      <c r="E44">
        <v>16.29</v>
      </c>
      <c r="F44">
        <v>12.97</v>
      </c>
      <c r="G44">
        <v>64.84</v>
      </c>
      <c r="H44">
        <v>0.78</v>
      </c>
      <c r="I44">
        <v>12</v>
      </c>
      <c r="J44">
        <v>261.62</v>
      </c>
      <c r="K44">
        <v>58.47</v>
      </c>
      <c r="L44">
        <v>11.5</v>
      </c>
      <c r="M44">
        <v>10</v>
      </c>
      <c r="N44">
        <v>66.64</v>
      </c>
      <c r="O44">
        <v>32500.22</v>
      </c>
      <c r="P44">
        <v>175.39</v>
      </c>
      <c r="Q44">
        <v>988.1</v>
      </c>
      <c r="R44">
        <v>44.43</v>
      </c>
      <c r="S44">
        <v>35.43</v>
      </c>
      <c r="T44">
        <v>3463.69</v>
      </c>
      <c r="U44">
        <v>0.8</v>
      </c>
      <c r="V44">
        <v>0.88</v>
      </c>
      <c r="W44">
        <v>2.98</v>
      </c>
      <c r="X44">
        <v>0.21</v>
      </c>
      <c r="Y44">
        <v>1</v>
      </c>
      <c r="Z44">
        <v>10</v>
      </c>
    </row>
    <row r="45" spans="1:26" x14ac:dyDescent="0.3">
      <c r="A45">
        <v>43</v>
      </c>
      <c r="B45">
        <v>125</v>
      </c>
      <c r="C45" t="s">
        <v>26</v>
      </c>
      <c r="D45">
        <v>6.1372</v>
      </c>
      <c r="E45">
        <v>16.29</v>
      </c>
      <c r="F45">
        <v>12.97</v>
      </c>
      <c r="G45">
        <v>64.849999999999994</v>
      </c>
      <c r="H45">
        <v>0.8</v>
      </c>
      <c r="I45">
        <v>12</v>
      </c>
      <c r="J45">
        <v>262.08</v>
      </c>
      <c r="K45">
        <v>58.47</v>
      </c>
      <c r="L45">
        <v>11.75</v>
      </c>
      <c r="M45">
        <v>10</v>
      </c>
      <c r="N45">
        <v>66.86</v>
      </c>
      <c r="O45">
        <v>32557.58</v>
      </c>
      <c r="P45">
        <v>174.48</v>
      </c>
      <c r="Q45">
        <v>988.14</v>
      </c>
      <c r="R45">
        <v>44.46</v>
      </c>
      <c r="S45">
        <v>35.43</v>
      </c>
      <c r="T45">
        <v>3479.04</v>
      </c>
      <c r="U45">
        <v>0.8</v>
      </c>
      <c r="V45">
        <v>0.88</v>
      </c>
      <c r="W45">
        <v>2.98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125</v>
      </c>
      <c r="C46" t="s">
        <v>26</v>
      </c>
      <c r="D46">
        <v>6.1409000000000002</v>
      </c>
      <c r="E46">
        <v>16.28</v>
      </c>
      <c r="F46">
        <v>12.96</v>
      </c>
      <c r="G46">
        <v>64.8</v>
      </c>
      <c r="H46">
        <v>0.81</v>
      </c>
      <c r="I46">
        <v>12</v>
      </c>
      <c r="J46">
        <v>262.55</v>
      </c>
      <c r="K46">
        <v>58.47</v>
      </c>
      <c r="L46">
        <v>12</v>
      </c>
      <c r="M46">
        <v>10</v>
      </c>
      <c r="N46">
        <v>67.069999999999993</v>
      </c>
      <c r="O46">
        <v>32615.02</v>
      </c>
      <c r="P46">
        <v>173.98</v>
      </c>
      <c r="Q46">
        <v>988.08</v>
      </c>
      <c r="R46">
        <v>44.11</v>
      </c>
      <c r="S46">
        <v>35.43</v>
      </c>
      <c r="T46">
        <v>3306.96</v>
      </c>
      <c r="U46">
        <v>0.8</v>
      </c>
      <c r="V46">
        <v>0.88</v>
      </c>
      <c r="W46">
        <v>2.98</v>
      </c>
      <c r="X46">
        <v>0.21</v>
      </c>
      <c r="Y46">
        <v>1</v>
      </c>
      <c r="Z46">
        <v>10</v>
      </c>
    </row>
    <row r="47" spans="1:26" x14ac:dyDescent="0.3">
      <c r="A47">
        <v>45</v>
      </c>
      <c r="B47">
        <v>125</v>
      </c>
      <c r="C47" t="s">
        <v>26</v>
      </c>
      <c r="D47">
        <v>6.1361999999999997</v>
      </c>
      <c r="E47">
        <v>16.3</v>
      </c>
      <c r="F47">
        <v>12.97</v>
      </c>
      <c r="G47">
        <v>64.87</v>
      </c>
      <c r="H47">
        <v>0.83</v>
      </c>
      <c r="I47">
        <v>12</v>
      </c>
      <c r="J47">
        <v>263.01</v>
      </c>
      <c r="K47">
        <v>58.47</v>
      </c>
      <c r="L47">
        <v>12.25</v>
      </c>
      <c r="M47">
        <v>10</v>
      </c>
      <c r="N47">
        <v>67.290000000000006</v>
      </c>
      <c r="O47">
        <v>32672.53</v>
      </c>
      <c r="P47">
        <v>173.46</v>
      </c>
      <c r="Q47">
        <v>988.17</v>
      </c>
      <c r="R47">
        <v>44.51</v>
      </c>
      <c r="S47">
        <v>35.43</v>
      </c>
      <c r="T47">
        <v>3504.64</v>
      </c>
      <c r="U47">
        <v>0.8</v>
      </c>
      <c r="V47">
        <v>0.88</v>
      </c>
      <c r="W47">
        <v>2.99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125</v>
      </c>
      <c r="C48" t="s">
        <v>26</v>
      </c>
      <c r="D48">
        <v>6.1580000000000004</v>
      </c>
      <c r="E48">
        <v>16.239999999999998</v>
      </c>
      <c r="F48">
        <v>12.96</v>
      </c>
      <c r="G48">
        <v>70.709999999999994</v>
      </c>
      <c r="H48">
        <v>0.84</v>
      </c>
      <c r="I48">
        <v>11</v>
      </c>
      <c r="J48">
        <v>263.48</v>
      </c>
      <c r="K48">
        <v>58.47</v>
      </c>
      <c r="L48">
        <v>12.5</v>
      </c>
      <c r="M48">
        <v>9</v>
      </c>
      <c r="N48">
        <v>67.510000000000005</v>
      </c>
      <c r="O48">
        <v>32730.13</v>
      </c>
      <c r="P48">
        <v>172.12</v>
      </c>
      <c r="Q48">
        <v>988.16</v>
      </c>
      <c r="R48">
        <v>44.23</v>
      </c>
      <c r="S48">
        <v>35.43</v>
      </c>
      <c r="T48">
        <v>3370.77</v>
      </c>
      <c r="U48">
        <v>0.8</v>
      </c>
      <c r="V48">
        <v>0.88</v>
      </c>
      <c r="W48">
        <v>2.98</v>
      </c>
      <c r="X48">
        <v>0.21</v>
      </c>
      <c r="Y48">
        <v>1</v>
      </c>
      <c r="Z48">
        <v>10</v>
      </c>
    </row>
    <row r="49" spans="1:26" x14ac:dyDescent="0.3">
      <c r="A49">
        <v>47</v>
      </c>
      <c r="B49">
        <v>125</v>
      </c>
      <c r="C49" t="s">
        <v>26</v>
      </c>
      <c r="D49">
        <v>6.1631999999999998</v>
      </c>
      <c r="E49">
        <v>16.23</v>
      </c>
      <c r="F49">
        <v>12.95</v>
      </c>
      <c r="G49">
        <v>70.63</v>
      </c>
      <c r="H49">
        <v>0.86</v>
      </c>
      <c r="I49">
        <v>11</v>
      </c>
      <c r="J49">
        <v>263.95</v>
      </c>
      <c r="K49">
        <v>58.47</v>
      </c>
      <c r="L49">
        <v>12.75</v>
      </c>
      <c r="M49">
        <v>9</v>
      </c>
      <c r="N49">
        <v>67.72</v>
      </c>
      <c r="O49">
        <v>32787.82</v>
      </c>
      <c r="P49">
        <v>171.43</v>
      </c>
      <c r="Q49">
        <v>988.08</v>
      </c>
      <c r="R49">
        <v>43.77</v>
      </c>
      <c r="S49">
        <v>35.43</v>
      </c>
      <c r="T49">
        <v>3142.82</v>
      </c>
      <c r="U49">
        <v>0.81</v>
      </c>
      <c r="V49">
        <v>0.88</v>
      </c>
      <c r="W49">
        <v>2.98</v>
      </c>
      <c r="X49">
        <v>0.2</v>
      </c>
      <c r="Y49">
        <v>1</v>
      </c>
      <c r="Z49">
        <v>10</v>
      </c>
    </row>
    <row r="50" spans="1:26" x14ac:dyDescent="0.3">
      <c r="A50">
        <v>48</v>
      </c>
      <c r="B50">
        <v>125</v>
      </c>
      <c r="C50" t="s">
        <v>26</v>
      </c>
      <c r="D50">
        <v>6.1622000000000003</v>
      </c>
      <c r="E50">
        <v>16.23</v>
      </c>
      <c r="F50">
        <v>12.95</v>
      </c>
      <c r="G50">
        <v>70.650000000000006</v>
      </c>
      <c r="H50">
        <v>0.87</v>
      </c>
      <c r="I50">
        <v>11</v>
      </c>
      <c r="J50">
        <v>264.42</v>
      </c>
      <c r="K50">
        <v>58.47</v>
      </c>
      <c r="L50">
        <v>13</v>
      </c>
      <c r="M50">
        <v>9</v>
      </c>
      <c r="N50">
        <v>67.94</v>
      </c>
      <c r="O50">
        <v>32845.58</v>
      </c>
      <c r="P50">
        <v>170.39</v>
      </c>
      <c r="Q50">
        <v>988.09</v>
      </c>
      <c r="R50">
        <v>43.91</v>
      </c>
      <c r="S50">
        <v>35.43</v>
      </c>
      <c r="T50">
        <v>3210.74</v>
      </c>
      <c r="U50">
        <v>0.81</v>
      </c>
      <c r="V50">
        <v>0.88</v>
      </c>
      <c r="W50">
        <v>2.98</v>
      </c>
      <c r="X50">
        <v>0.2</v>
      </c>
      <c r="Y50">
        <v>1</v>
      </c>
      <c r="Z50">
        <v>10</v>
      </c>
    </row>
    <row r="51" spans="1:26" x14ac:dyDescent="0.3">
      <c r="A51">
        <v>49</v>
      </c>
      <c r="B51">
        <v>125</v>
      </c>
      <c r="C51" t="s">
        <v>26</v>
      </c>
      <c r="D51">
        <v>6.1639999999999997</v>
      </c>
      <c r="E51">
        <v>16.22</v>
      </c>
      <c r="F51">
        <v>12.95</v>
      </c>
      <c r="G51">
        <v>70.62</v>
      </c>
      <c r="H51">
        <v>0.89</v>
      </c>
      <c r="I51">
        <v>11</v>
      </c>
      <c r="J51">
        <v>264.89</v>
      </c>
      <c r="K51">
        <v>58.47</v>
      </c>
      <c r="L51">
        <v>13.25</v>
      </c>
      <c r="M51">
        <v>9</v>
      </c>
      <c r="N51">
        <v>68.16</v>
      </c>
      <c r="O51">
        <v>32903.43</v>
      </c>
      <c r="P51">
        <v>168.03</v>
      </c>
      <c r="Q51">
        <v>988.13</v>
      </c>
      <c r="R51">
        <v>43.78</v>
      </c>
      <c r="S51">
        <v>35.43</v>
      </c>
      <c r="T51">
        <v>3147.08</v>
      </c>
      <c r="U51">
        <v>0.81</v>
      </c>
      <c r="V51">
        <v>0.88</v>
      </c>
      <c r="W51">
        <v>2.98</v>
      </c>
      <c r="X51">
        <v>0.19</v>
      </c>
      <c r="Y51">
        <v>1</v>
      </c>
      <c r="Z51">
        <v>10</v>
      </c>
    </row>
    <row r="52" spans="1:26" x14ac:dyDescent="0.3">
      <c r="A52">
        <v>50</v>
      </c>
      <c r="B52">
        <v>125</v>
      </c>
      <c r="C52" t="s">
        <v>26</v>
      </c>
      <c r="D52">
        <v>6.1923000000000004</v>
      </c>
      <c r="E52">
        <v>16.149999999999999</v>
      </c>
      <c r="F52">
        <v>12.92</v>
      </c>
      <c r="G52">
        <v>77.52</v>
      </c>
      <c r="H52">
        <v>0.91</v>
      </c>
      <c r="I52">
        <v>10</v>
      </c>
      <c r="J52">
        <v>265.36</v>
      </c>
      <c r="K52">
        <v>58.47</v>
      </c>
      <c r="L52">
        <v>13.5</v>
      </c>
      <c r="M52">
        <v>8</v>
      </c>
      <c r="N52">
        <v>68.38</v>
      </c>
      <c r="O52">
        <v>32961.360000000001</v>
      </c>
      <c r="P52">
        <v>167.33</v>
      </c>
      <c r="Q52">
        <v>988.08</v>
      </c>
      <c r="R52">
        <v>43.01</v>
      </c>
      <c r="S52">
        <v>35.43</v>
      </c>
      <c r="T52">
        <v>2767.56</v>
      </c>
      <c r="U52">
        <v>0.82</v>
      </c>
      <c r="V52">
        <v>0.88</v>
      </c>
      <c r="W52">
        <v>2.98</v>
      </c>
      <c r="X52">
        <v>0.17</v>
      </c>
      <c r="Y52">
        <v>1</v>
      </c>
      <c r="Z52">
        <v>10</v>
      </c>
    </row>
    <row r="53" spans="1:26" x14ac:dyDescent="0.3">
      <c r="A53">
        <v>51</v>
      </c>
      <c r="B53">
        <v>125</v>
      </c>
      <c r="C53" t="s">
        <v>26</v>
      </c>
      <c r="D53">
        <v>6.1891999999999996</v>
      </c>
      <c r="E53">
        <v>16.16</v>
      </c>
      <c r="F53">
        <v>12.93</v>
      </c>
      <c r="G53">
        <v>77.569999999999993</v>
      </c>
      <c r="H53">
        <v>0.92</v>
      </c>
      <c r="I53">
        <v>10</v>
      </c>
      <c r="J53">
        <v>265.83</v>
      </c>
      <c r="K53">
        <v>58.47</v>
      </c>
      <c r="L53">
        <v>13.75</v>
      </c>
      <c r="M53">
        <v>7</v>
      </c>
      <c r="N53">
        <v>68.599999999999994</v>
      </c>
      <c r="O53">
        <v>33019.370000000003</v>
      </c>
      <c r="P53">
        <v>165.66</v>
      </c>
      <c r="Q53">
        <v>988.19</v>
      </c>
      <c r="R53">
        <v>43.1</v>
      </c>
      <c r="S53">
        <v>35.43</v>
      </c>
      <c r="T53">
        <v>2813.49</v>
      </c>
      <c r="U53">
        <v>0.82</v>
      </c>
      <c r="V53">
        <v>0.88</v>
      </c>
      <c r="W53">
        <v>2.98</v>
      </c>
      <c r="X53">
        <v>0.17</v>
      </c>
      <c r="Y53">
        <v>1</v>
      </c>
      <c r="Z53">
        <v>10</v>
      </c>
    </row>
    <row r="54" spans="1:26" x14ac:dyDescent="0.3">
      <c r="A54">
        <v>52</v>
      </c>
      <c r="B54">
        <v>125</v>
      </c>
      <c r="C54" t="s">
        <v>26</v>
      </c>
      <c r="D54">
        <v>6.1863000000000001</v>
      </c>
      <c r="E54">
        <v>16.16</v>
      </c>
      <c r="F54">
        <v>12.94</v>
      </c>
      <c r="G54">
        <v>77.61</v>
      </c>
      <c r="H54">
        <v>0.94</v>
      </c>
      <c r="I54">
        <v>10</v>
      </c>
      <c r="J54">
        <v>266.3</v>
      </c>
      <c r="K54">
        <v>58.47</v>
      </c>
      <c r="L54">
        <v>14</v>
      </c>
      <c r="M54">
        <v>6</v>
      </c>
      <c r="N54">
        <v>68.819999999999993</v>
      </c>
      <c r="O54">
        <v>33077.47</v>
      </c>
      <c r="P54">
        <v>165.68</v>
      </c>
      <c r="Q54">
        <v>988.15</v>
      </c>
      <c r="R54">
        <v>43.27</v>
      </c>
      <c r="S54">
        <v>35.43</v>
      </c>
      <c r="T54">
        <v>2896.97</v>
      </c>
      <c r="U54">
        <v>0.82</v>
      </c>
      <c r="V54">
        <v>0.88</v>
      </c>
      <c r="W54">
        <v>2.99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125</v>
      </c>
      <c r="C55" t="s">
        <v>26</v>
      </c>
      <c r="D55">
        <v>6.1883999999999997</v>
      </c>
      <c r="E55">
        <v>16.16</v>
      </c>
      <c r="F55">
        <v>12.93</v>
      </c>
      <c r="G55">
        <v>77.58</v>
      </c>
      <c r="H55">
        <v>0.95</v>
      </c>
      <c r="I55">
        <v>10</v>
      </c>
      <c r="J55">
        <v>266.77</v>
      </c>
      <c r="K55">
        <v>58.47</v>
      </c>
      <c r="L55">
        <v>14.25</v>
      </c>
      <c r="M55">
        <v>5</v>
      </c>
      <c r="N55">
        <v>69.040000000000006</v>
      </c>
      <c r="O55">
        <v>33135.65</v>
      </c>
      <c r="P55">
        <v>165.27</v>
      </c>
      <c r="Q55">
        <v>988.08</v>
      </c>
      <c r="R55">
        <v>43.13</v>
      </c>
      <c r="S55">
        <v>35.43</v>
      </c>
      <c r="T55">
        <v>2825.7</v>
      </c>
      <c r="U55">
        <v>0.82</v>
      </c>
      <c r="V55">
        <v>0.88</v>
      </c>
      <c r="W55">
        <v>2.98</v>
      </c>
      <c r="X55">
        <v>0.18</v>
      </c>
      <c r="Y55">
        <v>1</v>
      </c>
      <c r="Z55">
        <v>10</v>
      </c>
    </row>
    <row r="56" spans="1:26" x14ac:dyDescent="0.3">
      <c r="A56">
        <v>54</v>
      </c>
      <c r="B56">
        <v>125</v>
      </c>
      <c r="C56" t="s">
        <v>26</v>
      </c>
      <c r="D56">
        <v>6.1852</v>
      </c>
      <c r="E56">
        <v>16.170000000000002</v>
      </c>
      <c r="F56">
        <v>12.94</v>
      </c>
      <c r="G56">
        <v>77.63</v>
      </c>
      <c r="H56">
        <v>0.97</v>
      </c>
      <c r="I56">
        <v>10</v>
      </c>
      <c r="J56">
        <v>267.24</v>
      </c>
      <c r="K56">
        <v>58.47</v>
      </c>
      <c r="L56">
        <v>14.5</v>
      </c>
      <c r="M56">
        <v>5</v>
      </c>
      <c r="N56">
        <v>69.27</v>
      </c>
      <c r="O56">
        <v>33193.919999999998</v>
      </c>
      <c r="P56">
        <v>164.71</v>
      </c>
      <c r="Q56">
        <v>988.09</v>
      </c>
      <c r="R56">
        <v>43.31</v>
      </c>
      <c r="S56">
        <v>35.43</v>
      </c>
      <c r="T56">
        <v>2916.8</v>
      </c>
      <c r="U56">
        <v>0.82</v>
      </c>
      <c r="V56">
        <v>0.88</v>
      </c>
      <c r="W56">
        <v>2.99</v>
      </c>
      <c r="X56">
        <v>0.18</v>
      </c>
      <c r="Y56">
        <v>1</v>
      </c>
      <c r="Z56">
        <v>10</v>
      </c>
    </row>
    <row r="57" spans="1:26" x14ac:dyDescent="0.3">
      <c r="A57">
        <v>55</v>
      </c>
      <c r="B57">
        <v>125</v>
      </c>
      <c r="C57" t="s">
        <v>26</v>
      </c>
      <c r="D57">
        <v>6.1860999999999997</v>
      </c>
      <c r="E57">
        <v>16.170000000000002</v>
      </c>
      <c r="F57">
        <v>12.94</v>
      </c>
      <c r="G57">
        <v>77.62</v>
      </c>
      <c r="H57">
        <v>0.98</v>
      </c>
      <c r="I57">
        <v>10</v>
      </c>
      <c r="J57">
        <v>267.70999999999998</v>
      </c>
      <c r="K57">
        <v>58.47</v>
      </c>
      <c r="L57">
        <v>14.75</v>
      </c>
      <c r="M57">
        <v>4</v>
      </c>
      <c r="N57">
        <v>69.489999999999995</v>
      </c>
      <c r="O57">
        <v>33252.269999999997</v>
      </c>
      <c r="P57">
        <v>163.88</v>
      </c>
      <c r="Q57">
        <v>988.08</v>
      </c>
      <c r="R57">
        <v>43.22</v>
      </c>
      <c r="S57">
        <v>35.43</v>
      </c>
      <c r="T57">
        <v>2871.21</v>
      </c>
      <c r="U57">
        <v>0.82</v>
      </c>
      <c r="V57">
        <v>0.88</v>
      </c>
      <c r="W57">
        <v>2.99</v>
      </c>
      <c r="X57">
        <v>0.18</v>
      </c>
      <c r="Y57">
        <v>1</v>
      </c>
      <c r="Z57">
        <v>10</v>
      </c>
    </row>
    <row r="58" spans="1:26" x14ac:dyDescent="0.3">
      <c r="A58">
        <v>56</v>
      </c>
      <c r="B58">
        <v>125</v>
      </c>
      <c r="C58" t="s">
        <v>26</v>
      </c>
      <c r="D58">
        <v>6.2130000000000001</v>
      </c>
      <c r="E58">
        <v>16.100000000000001</v>
      </c>
      <c r="F58">
        <v>12.91</v>
      </c>
      <c r="G58">
        <v>86.09</v>
      </c>
      <c r="H58">
        <v>1</v>
      </c>
      <c r="I58">
        <v>9</v>
      </c>
      <c r="J58">
        <v>268.19</v>
      </c>
      <c r="K58">
        <v>58.47</v>
      </c>
      <c r="L58">
        <v>15</v>
      </c>
      <c r="M58">
        <v>1</v>
      </c>
      <c r="N58">
        <v>69.709999999999994</v>
      </c>
      <c r="O58">
        <v>33310.699999999997</v>
      </c>
      <c r="P58">
        <v>162.88999999999999</v>
      </c>
      <c r="Q58">
        <v>988.12</v>
      </c>
      <c r="R58">
        <v>42.52</v>
      </c>
      <c r="S58">
        <v>35.43</v>
      </c>
      <c r="T58">
        <v>2525.4899999999998</v>
      </c>
      <c r="U58">
        <v>0.83</v>
      </c>
      <c r="V58">
        <v>0.88</v>
      </c>
      <c r="W58">
        <v>2.98</v>
      </c>
      <c r="X58">
        <v>0.16</v>
      </c>
      <c r="Y58">
        <v>1</v>
      </c>
      <c r="Z58">
        <v>10</v>
      </c>
    </row>
    <row r="59" spans="1:26" x14ac:dyDescent="0.3">
      <c r="A59">
        <v>57</v>
      </c>
      <c r="B59">
        <v>125</v>
      </c>
      <c r="C59" t="s">
        <v>26</v>
      </c>
      <c r="D59">
        <v>6.2103000000000002</v>
      </c>
      <c r="E59">
        <v>16.100000000000001</v>
      </c>
      <c r="F59">
        <v>12.92</v>
      </c>
      <c r="G59">
        <v>86.14</v>
      </c>
      <c r="H59">
        <v>1.01</v>
      </c>
      <c r="I59">
        <v>9</v>
      </c>
      <c r="J59">
        <v>268.66000000000003</v>
      </c>
      <c r="K59">
        <v>58.47</v>
      </c>
      <c r="L59">
        <v>15.25</v>
      </c>
      <c r="M59">
        <v>0</v>
      </c>
      <c r="N59">
        <v>69.94</v>
      </c>
      <c r="O59">
        <v>33369.22</v>
      </c>
      <c r="P59">
        <v>162.99</v>
      </c>
      <c r="Q59">
        <v>988.08</v>
      </c>
      <c r="R59">
        <v>42.67</v>
      </c>
      <c r="S59">
        <v>35.43</v>
      </c>
      <c r="T59">
        <v>2599.11</v>
      </c>
      <c r="U59">
        <v>0.83</v>
      </c>
      <c r="V59">
        <v>0.88</v>
      </c>
      <c r="W59">
        <v>2.99</v>
      </c>
      <c r="X59">
        <v>0.17</v>
      </c>
      <c r="Y59">
        <v>1</v>
      </c>
      <c r="Z5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Z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30</v>
      </c>
      <c r="C2" t="s">
        <v>26</v>
      </c>
      <c r="D2">
        <v>5.8788999999999998</v>
      </c>
      <c r="E2">
        <v>17.010000000000002</v>
      </c>
      <c r="F2">
        <v>14.11</v>
      </c>
      <c r="G2">
        <v>12.45</v>
      </c>
      <c r="H2">
        <v>0.24</v>
      </c>
      <c r="I2">
        <v>68</v>
      </c>
      <c r="J2">
        <v>71.52</v>
      </c>
      <c r="K2">
        <v>32.270000000000003</v>
      </c>
      <c r="L2">
        <v>1</v>
      </c>
      <c r="M2">
        <v>66</v>
      </c>
      <c r="N2">
        <v>8.25</v>
      </c>
      <c r="O2">
        <v>9054.6</v>
      </c>
      <c r="P2">
        <v>92.47</v>
      </c>
      <c r="Q2">
        <v>988.22</v>
      </c>
      <c r="R2">
        <v>79.95</v>
      </c>
      <c r="S2">
        <v>35.43</v>
      </c>
      <c r="T2">
        <v>20944.2</v>
      </c>
      <c r="U2">
        <v>0.44</v>
      </c>
      <c r="V2">
        <v>0.81</v>
      </c>
      <c r="W2">
        <v>3.07</v>
      </c>
      <c r="X2">
        <v>1.35</v>
      </c>
      <c r="Y2">
        <v>1</v>
      </c>
      <c r="Z2">
        <v>10</v>
      </c>
    </row>
    <row r="3" spans="1:26" x14ac:dyDescent="0.3">
      <c r="A3">
        <v>1</v>
      </c>
      <c r="B3">
        <v>30</v>
      </c>
      <c r="C3" t="s">
        <v>26</v>
      </c>
      <c r="D3">
        <v>6.0917000000000003</v>
      </c>
      <c r="E3">
        <v>16.420000000000002</v>
      </c>
      <c r="F3">
        <v>13.78</v>
      </c>
      <c r="G3">
        <v>16.21</v>
      </c>
      <c r="H3">
        <v>0.3</v>
      </c>
      <c r="I3">
        <v>51</v>
      </c>
      <c r="J3">
        <v>71.81</v>
      </c>
      <c r="K3">
        <v>32.270000000000003</v>
      </c>
      <c r="L3">
        <v>1.25</v>
      </c>
      <c r="M3">
        <v>49</v>
      </c>
      <c r="N3">
        <v>8.2899999999999991</v>
      </c>
      <c r="O3">
        <v>9090.98</v>
      </c>
      <c r="P3">
        <v>86.77</v>
      </c>
      <c r="Q3">
        <v>988.18</v>
      </c>
      <c r="R3">
        <v>69.709999999999994</v>
      </c>
      <c r="S3">
        <v>35.43</v>
      </c>
      <c r="T3">
        <v>15911.22</v>
      </c>
      <c r="U3">
        <v>0.51</v>
      </c>
      <c r="V3">
        <v>0.83</v>
      </c>
      <c r="W3">
        <v>3.05</v>
      </c>
      <c r="X3">
        <v>1.02</v>
      </c>
      <c r="Y3">
        <v>1</v>
      </c>
      <c r="Z3">
        <v>10</v>
      </c>
    </row>
    <row r="4" spans="1:26" x14ac:dyDescent="0.3">
      <c r="A4">
        <v>2</v>
      </c>
      <c r="B4">
        <v>30</v>
      </c>
      <c r="C4" t="s">
        <v>26</v>
      </c>
      <c r="D4">
        <v>6.2343000000000002</v>
      </c>
      <c r="E4">
        <v>16.04</v>
      </c>
      <c r="F4">
        <v>13.56</v>
      </c>
      <c r="G4">
        <v>19.84</v>
      </c>
      <c r="H4">
        <v>0.36</v>
      </c>
      <c r="I4">
        <v>41</v>
      </c>
      <c r="J4">
        <v>72.11</v>
      </c>
      <c r="K4">
        <v>32.270000000000003</v>
      </c>
      <c r="L4">
        <v>1.5</v>
      </c>
      <c r="M4">
        <v>35</v>
      </c>
      <c r="N4">
        <v>8.34</v>
      </c>
      <c r="O4">
        <v>9127.3799999999992</v>
      </c>
      <c r="P4">
        <v>82.16</v>
      </c>
      <c r="Q4">
        <v>988.17</v>
      </c>
      <c r="R4">
        <v>62.66</v>
      </c>
      <c r="S4">
        <v>35.43</v>
      </c>
      <c r="T4">
        <v>12434.02</v>
      </c>
      <c r="U4">
        <v>0.56999999999999995</v>
      </c>
      <c r="V4">
        <v>0.84</v>
      </c>
      <c r="W4">
        <v>3.03</v>
      </c>
      <c r="X4">
        <v>0.8</v>
      </c>
      <c r="Y4">
        <v>1</v>
      </c>
      <c r="Z4">
        <v>10</v>
      </c>
    </row>
    <row r="5" spans="1:26" x14ac:dyDescent="0.3">
      <c r="A5">
        <v>3</v>
      </c>
      <c r="B5">
        <v>30</v>
      </c>
      <c r="C5" t="s">
        <v>26</v>
      </c>
      <c r="D5">
        <v>6.3097000000000003</v>
      </c>
      <c r="E5">
        <v>15.85</v>
      </c>
      <c r="F5">
        <v>13.46</v>
      </c>
      <c r="G5">
        <v>23.07</v>
      </c>
      <c r="H5">
        <v>0.42</v>
      </c>
      <c r="I5">
        <v>35</v>
      </c>
      <c r="J5">
        <v>72.400000000000006</v>
      </c>
      <c r="K5">
        <v>32.270000000000003</v>
      </c>
      <c r="L5">
        <v>1.75</v>
      </c>
      <c r="M5">
        <v>12</v>
      </c>
      <c r="N5">
        <v>8.3800000000000008</v>
      </c>
      <c r="O5">
        <v>9163.7999999999993</v>
      </c>
      <c r="P5">
        <v>79.05</v>
      </c>
      <c r="Q5">
        <v>988.44</v>
      </c>
      <c r="R5">
        <v>58.85</v>
      </c>
      <c r="S5">
        <v>35.43</v>
      </c>
      <c r="T5">
        <v>10562.98</v>
      </c>
      <c r="U5">
        <v>0.6</v>
      </c>
      <c r="V5">
        <v>0.85</v>
      </c>
      <c r="W5">
        <v>3.05</v>
      </c>
      <c r="X5">
        <v>0.7</v>
      </c>
      <c r="Y5">
        <v>1</v>
      </c>
      <c r="Z5">
        <v>10</v>
      </c>
    </row>
    <row r="6" spans="1:26" x14ac:dyDescent="0.3">
      <c r="A6">
        <v>4</v>
      </c>
      <c r="B6">
        <v>30</v>
      </c>
      <c r="C6" t="s">
        <v>26</v>
      </c>
      <c r="D6">
        <v>6.3223000000000003</v>
      </c>
      <c r="E6">
        <v>15.82</v>
      </c>
      <c r="F6">
        <v>13.44</v>
      </c>
      <c r="G6">
        <v>23.73</v>
      </c>
      <c r="H6">
        <v>0.48</v>
      </c>
      <c r="I6">
        <v>34</v>
      </c>
      <c r="J6">
        <v>72.7</v>
      </c>
      <c r="K6">
        <v>32.270000000000003</v>
      </c>
      <c r="L6">
        <v>2</v>
      </c>
      <c r="M6">
        <v>2</v>
      </c>
      <c r="N6">
        <v>8.43</v>
      </c>
      <c r="O6">
        <v>9200.25</v>
      </c>
      <c r="P6">
        <v>78.459999999999994</v>
      </c>
      <c r="Q6">
        <v>988.3</v>
      </c>
      <c r="R6">
        <v>58.07</v>
      </c>
      <c r="S6">
        <v>35.43</v>
      </c>
      <c r="T6">
        <v>10174.219999999999</v>
      </c>
      <c r="U6">
        <v>0.61</v>
      </c>
      <c r="V6">
        <v>0.85</v>
      </c>
      <c r="W6">
        <v>3.06</v>
      </c>
      <c r="X6">
        <v>0.69</v>
      </c>
      <c r="Y6">
        <v>1</v>
      </c>
      <c r="Z6">
        <v>10</v>
      </c>
    </row>
    <row r="7" spans="1:26" x14ac:dyDescent="0.3">
      <c r="A7">
        <v>5</v>
      </c>
      <c r="B7">
        <v>30</v>
      </c>
      <c r="C7" t="s">
        <v>26</v>
      </c>
      <c r="D7">
        <v>6.3228</v>
      </c>
      <c r="E7">
        <v>15.82</v>
      </c>
      <c r="F7">
        <v>13.44</v>
      </c>
      <c r="G7">
        <v>23.72</v>
      </c>
      <c r="H7">
        <v>0.54</v>
      </c>
      <c r="I7">
        <v>34</v>
      </c>
      <c r="J7">
        <v>73</v>
      </c>
      <c r="K7">
        <v>32.270000000000003</v>
      </c>
      <c r="L7">
        <v>2.25</v>
      </c>
      <c r="M7">
        <v>0</v>
      </c>
      <c r="N7">
        <v>8.48</v>
      </c>
      <c r="O7">
        <v>9236.7099999999991</v>
      </c>
      <c r="P7">
        <v>78.77</v>
      </c>
      <c r="Q7">
        <v>988.29</v>
      </c>
      <c r="R7">
        <v>58.08</v>
      </c>
      <c r="S7">
        <v>35.43</v>
      </c>
      <c r="T7">
        <v>10183.370000000001</v>
      </c>
      <c r="U7">
        <v>0.61</v>
      </c>
      <c r="V7">
        <v>0.85</v>
      </c>
      <c r="W7">
        <v>3.06</v>
      </c>
      <c r="X7">
        <v>0.69</v>
      </c>
      <c r="Y7">
        <v>1</v>
      </c>
      <c r="Z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6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</v>
      </c>
      <c r="C2" t="s">
        <v>26</v>
      </c>
      <c r="D2">
        <v>6.0269000000000004</v>
      </c>
      <c r="E2">
        <v>16.59</v>
      </c>
      <c r="F2">
        <v>14.15</v>
      </c>
      <c r="G2">
        <v>12.67</v>
      </c>
      <c r="H2">
        <v>0.43</v>
      </c>
      <c r="I2">
        <v>67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56.04</v>
      </c>
      <c r="Q2">
        <v>988.4</v>
      </c>
      <c r="R2">
        <v>78.67</v>
      </c>
      <c r="S2">
        <v>35.43</v>
      </c>
      <c r="T2">
        <v>20311.91</v>
      </c>
      <c r="U2">
        <v>0.45</v>
      </c>
      <c r="V2">
        <v>0.81</v>
      </c>
      <c r="W2">
        <v>3.15</v>
      </c>
      <c r="X2">
        <v>1.39</v>
      </c>
      <c r="Y2">
        <v>1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ilha7"/>
  <dimension ref="A1:Z2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70</v>
      </c>
      <c r="C2" t="s">
        <v>26</v>
      </c>
      <c r="D2">
        <v>4.7598000000000003</v>
      </c>
      <c r="E2">
        <v>21.01</v>
      </c>
      <c r="F2">
        <v>15.23</v>
      </c>
      <c r="G2">
        <v>7.43</v>
      </c>
      <c r="H2">
        <v>0.12</v>
      </c>
      <c r="I2">
        <v>123</v>
      </c>
      <c r="J2">
        <v>141.81</v>
      </c>
      <c r="K2">
        <v>47.83</v>
      </c>
      <c r="L2">
        <v>1</v>
      </c>
      <c r="M2">
        <v>121</v>
      </c>
      <c r="N2">
        <v>22.98</v>
      </c>
      <c r="O2">
        <v>17723.39</v>
      </c>
      <c r="P2">
        <v>170.38</v>
      </c>
      <c r="Q2">
        <v>988.39</v>
      </c>
      <c r="R2">
        <v>115.01</v>
      </c>
      <c r="S2">
        <v>35.43</v>
      </c>
      <c r="T2">
        <v>38200.589999999997</v>
      </c>
      <c r="U2">
        <v>0.31</v>
      </c>
      <c r="V2">
        <v>0.75</v>
      </c>
      <c r="W2">
        <v>3.16</v>
      </c>
      <c r="X2">
        <v>2.4700000000000002</v>
      </c>
      <c r="Y2">
        <v>1</v>
      </c>
      <c r="Z2">
        <v>10</v>
      </c>
    </row>
    <row r="3" spans="1:26" x14ac:dyDescent="0.3">
      <c r="A3">
        <v>1</v>
      </c>
      <c r="B3">
        <v>70</v>
      </c>
      <c r="C3" t="s">
        <v>26</v>
      </c>
      <c r="D3">
        <v>5.0925000000000002</v>
      </c>
      <c r="E3">
        <v>19.64</v>
      </c>
      <c r="F3">
        <v>14.66</v>
      </c>
      <c r="G3">
        <v>9.26</v>
      </c>
      <c r="H3">
        <v>0.16</v>
      </c>
      <c r="I3">
        <v>95</v>
      </c>
      <c r="J3">
        <v>142.15</v>
      </c>
      <c r="K3">
        <v>47.83</v>
      </c>
      <c r="L3">
        <v>1.25</v>
      </c>
      <c r="M3">
        <v>93</v>
      </c>
      <c r="N3">
        <v>23.07</v>
      </c>
      <c r="O3">
        <v>17765.46</v>
      </c>
      <c r="P3">
        <v>162.75</v>
      </c>
      <c r="Q3">
        <v>988.42</v>
      </c>
      <c r="R3">
        <v>97.05</v>
      </c>
      <c r="S3">
        <v>35.43</v>
      </c>
      <c r="T3">
        <v>29361.1</v>
      </c>
      <c r="U3">
        <v>0.37</v>
      </c>
      <c r="V3">
        <v>0.78</v>
      </c>
      <c r="W3">
        <v>3.12</v>
      </c>
      <c r="X3">
        <v>1.91</v>
      </c>
      <c r="Y3">
        <v>1</v>
      </c>
      <c r="Z3">
        <v>10</v>
      </c>
    </row>
    <row r="4" spans="1:26" x14ac:dyDescent="0.3">
      <c r="A4">
        <v>2</v>
      </c>
      <c r="B4">
        <v>70</v>
      </c>
      <c r="C4" t="s">
        <v>26</v>
      </c>
      <c r="D4">
        <v>5.3461999999999996</v>
      </c>
      <c r="E4">
        <v>18.7</v>
      </c>
      <c r="F4">
        <v>14.28</v>
      </c>
      <c r="G4">
        <v>11.27</v>
      </c>
      <c r="H4">
        <v>0.19</v>
      </c>
      <c r="I4">
        <v>76</v>
      </c>
      <c r="J4">
        <v>142.49</v>
      </c>
      <c r="K4">
        <v>47.83</v>
      </c>
      <c r="L4">
        <v>1.5</v>
      </c>
      <c r="M4">
        <v>74</v>
      </c>
      <c r="N4">
        <v>23.16</v>
      </c>
      <c r="O4">
        <v>17807.560000000001</v>
      </c>
      <c r="P4">
        <v>156.97999999999999</v>
      </c>
      <c r="Q4">
        <v>988.23</v>
      </c>
      <c r="R4">
        <v>85.15</v>
      </c>
      <c r="S4">
        <v>35.43</v>
      </c>
      <c r="T4">
        <v>23507.29</v>
      </c>
      <c r="U4">
        <v>0.42</v>
      </c>
      <c r="V4">
        <v>0.8</v>
      </c>
      <c r="W4">
        <v>3.09</v>
      </c>
      <c r="X4">
        <v>1.53</v>
      </c>
      <c r="Y4">
        <v>1</v>
      </c>
      <c r="Z4">
        <v>10</v>
      </c>
    </row>
    <row r="5" spans="1:26" x14ac:dyDescent="0.3">
      <c r="A5">
        <v>3</v>
      </c>
      <c r="B5">
        <v>70</v>
      </c>
      <c r="C5" t="s">
        <v>26</v>
      </c>
      <c r="D5">
        <v>5.5239000000000003</v>
      </c>
      <c r="E5">
        <v>18.100000000000001</v>
      </c>
      <c r="F5">
        <v>14.03</v>
      </c>
      <c r="G5">
        <v>13.15</v>
      </c>
      <c r="H5">
        <v>0.22</v>
      </c>
      <c r="I5">
        <v>64</v>
      </c>
      <c r="J5">
        <v>142.83000000000001</v>
      </c>
      <c r="K5">
        <v>47.83</v>
      </c>
      <c r="L5">
        <v>1.75</v>
      </c>
      <c r="M5">
        <v>62</v>
      </c>
      <c r="N5">
        <v>23.25</v>
      </c>
      <c r="O5">
        <v>17849.7</v>
      </c>
      <c r="P5">
        <v>152.85</v>
      </c>
      <c r="Q5">
        <v>988.33</v>
      </c>
      <c r="R5">
        <v>77.37</v>
      </c>
      <c r="S5">
        <v>35.43</v>
      </c>
      <c r="T5">
        <v>19675.18</v>
      </c>
      <c r="U5">
        <v>0.46</v>
      </c>
      <c r="V5">
        <v>0.81</v>
      </c>
      <c r="W5">
        <v>3.07</v>
      </c>
      <c r="X5">
        <v>1.27</v>
      </c>
      <c r="Y5">
        <v>1</v>
      </c>
      <c r="Z5">
        <v>10</v>
      </c>
    </row>
    <row r="6" spans="1:26" x14ac:dyDescent="0.3">
      <c r="A6">
        <v>4</v>
      </c>
      <c r="B6">
        <v>70</v>
      </c>
      <c r="C6" t="s">
        <v>26</v>
      </c>
      <c r="D6">
        <v>5.6657999999999999</v>
      </c>
      <c r="E6">
        <v>17.649999999999999</v>
      </c>
      <c r="F6">
        <v>13.83</v>
      </c>
      <c r="G6">
        <v>15.09</v>
      </c>
      <c r="H6">
        <v>0.25</v>
      </c>
      <c r="I6">
        <v>55</v>
      </c>
      <c r="J6">
        <v>143.16999999999999</v>
      </c>
      <c r="K6">
        <v>47.83</v>
      </c>
      <c r="L6">
        <v>2</v>
      </c>
      <c r="M6">
        <v>53</v>
      </c>
      <c r="N6">
        <v>23.34</v>
      </c>
      <c r="O6">
        <v>17891.86</v>
      </c>
      <c r="P6">
        <v>149.29</v>
      </c>
      <c r="Q6">
        <v>988.14</v>
      </c>
      <c r="R6">
        <v>71.23</v>
      </c>
      <c r="S6">
        <v>35.43</v>
      </c>
      <c r="T6">
        <v>16652.96</v>
      </c>
      <c r="U6">
        <v>0.5</v>
      </c>
      <c r="V6">
        <v>0.82</v>
      </c>
      <c r="W6">
        <v>3.05</v>
      </c>
      <c r="X6">
        <v>1.08</v>
      </c>
      <c r="Y6">
        <v>1</v>
      </c>
      <c r="Z6">
        <v>10</v>
      </c>
    </row>
    <row r="7" spans="1:26" x14ac:dyDescent="0.3">
      <c r="A7">
        <v>5</v>
      </c>
      <c r="B7">
        <v>70</v>
      </c>
      <c r="C7" t="s">
        <v>26</v>
      </c>
      <c r="D7">
        <v>5.7770000000000001</v>
      </c>
      <c r="E7">
        <v>17.309999999999999</v>
      </c>
      <c r="F7">
        <v>13.7</v>
      </c>
      <c r="G7">
        <v>17.12</v>
      </c>
      <c r="H7">
        <v>0.28000000000000003</v>
      </c>
      <c r="I7">
        <v>48</v>
      </c>
      <c r="J7">
        <v>143.51</v>
      </c>
      <c r="K7">
        <v>47.83</v>
      </c>
      <c r="L7">
        <v>2.25</v>
      </c>
      <c r="M7">
        <v>46</v>
      </c>
      <c r="N7">
        <v>23.44</v>
      </c>
      <c r="O7">
        <v>17934.060000000001</v>
      </c>
      <c r="P7">
        <v>146.25</v>
      </c>
      <c r="Q7">
        <v>988.27</v>
      </c>
      <c r="R7">
        <v>67.05</v>
      </c>
      <c r="S7">
        <v>35.43</v>
      </c>
      <c r="T7">
        <v>14596.83</v>
      </c>
      <c r="U7">
        <v>0.53</v>
      </c>
      <c r="V7">
        <v>0.83</v>
      </c>
      <c r="W7">
        <v>3.04</v>
      </c>
      <c r="X7">
        <v>0.94</v>
      </c>
      <c r="Y7">
        <v>1</v>
      </c>
      <c r="Z7">
        <v>10</v>
      </c>
    </row>
    <row r="8" spans="1:26" x14ac:dyDescent="0.3">
      <c r="A8">
        <v>6</v>
      </c>
      <c r="B8">
        <v>70</v>
      </c>
      <c r="C8" t="s">
        <v>26</v>
      </c>
      <c r="D8">
        <v>5.8806000000000003</v>
      </c>
      <c r="E8">
        <v>17</v>
      </c>
      <c r="F8">
        <v>13.56</v>
      </c>
      <c r="G8">
        <v>19.38</v>
      </c>
      <c r="H8">
        <v>0.31</v>
      </c>
      <c r="I8">
        <v>42</v>
      </c>
      <c r="J8">
        <v>143.86000000000001</v>
      </c>
      <c r="K8">
        <v>47.83</v>
      </c>
      <c r="L8">
        <v>2.5</v>
      </c>
      <c r="M8">
        <v>40</v>
      </c>
      <c r="N8">
        <v>23.53</v>
      </c>
      <c r="O8">
        <v>17976.29</v>
      </c>
      <c r="P8">
        <v>143.08000000000001</v>
      </c>
      <c r="Q8">
        <v>988.12</v>
      </c>
      <c r="R8">
        <v>63.28</v>
      </c>
      <c r="S8">
        <v>35.43</v>
      </c>
      <c r="T8">
        <v>12740.6</v>
      </c>
      <c r="U8">
        <v>0.56000000000000005</v>
      </c>
      <c r="V8">
        <v>0.84</v>
      </c>
      <c r="W8">
        <v>3.02</v>
      </c>
      <c r="X8">
        <v>0.81</v>
      </c>
      <c r="Y8">
        <v>1</v>
      </c>
      <c r="Z8">
        <v>10</v>
      </c>
    </row>
    <row r="9" spans="1:26" x14ac:dyDescent="0.3">
      <c r="A9">
        <v>7</v>
      </c>
      <c r="B9">
        <v>70</v>
      </c>
      <c r="C9" t="s">
        <v>26</v>
      </c>
      <c r="D9">
        <v>5.9462999999999999</v>
      </c>
      <c r="E9">
        <v>16.82</v>
      </c>
      <c r="F9">
        <v>13.49</v>
      </c>
      <c r="G9">
        <v>21.3</v>
      </c>
      <c r="H9">
        <v>0.34</v>
      </c>
      <c r="I9">
        <v>38</v>
      </c>
      <c r="J9">
        <v>144.19999999999999</v>
      </c>
      <c r="K9">
        <v>47.83</v>
      </c>
      <c r="L9">
        <v>2.75</v>
      </c>
      <c r="M9">
        <v>36</v>
      </c>
      <c r="N9">
        <v>23.62</v>
      </c>
      <c r="O9">
        <v>18018.55</v>
      </c>
      <c r="P9">
        <v>141.19999999999999</v>
      </c>
      <c r="Q9">
        <v>988.14</v>
      </c>
      <c r="R9">
        <v>60.53</v>
      </c>
      <c r="S9">
        <v>35.43</v>
      </c>
      <c r="T9">
        <v>11388.32</v>
      </c>
      <c r="U9">
        <v>0.59</v>
      </c>
      <c r="V9">
        <v>0.84</v>
      </c>
      <c r="W9">
        <v>3.03</v>
      </c>
      <c r="X9">
        <v>0.74</v>
      </c>
      <c r="Y9">
        <v>1</v>
      </c>
      <c r="Z9">
        <v>10</v>
      </c>
    </row>
    <row r="10" spans="1:26" x14ac:dyDescent="0.3">
      <c r="A10">
        <v>8</v>
      </c>
      <c r="B10">
        <v>70</v>
      </c>
      <c r="C10" t="s">
        <v>26</v>
      </c>
      <c r="D10">
        <v>5.9978999999999996</v>
      </c>
      <c r="E10">
        <v>16.670000000000002</v>
      </c>
      <c r="F10">
        <v>13.43</v>
      </c>
      <c r="G10">
        <v>23.03</v>
      </c>
      <c r="H10">
        <v>0.37</v>
      </c>
      <c r="I10">
        <v>35</v>
      </c>
      <c r="J10">
        <v>144.54</v>
      </c>
      <c r="K10">
        <v>47.83</v>
      </c>
      <c r="L10">
        <v>3</v>
      </c>
      <c r="M10">
        <v>33</v>
      </c>
      <c r="N10">
        <v>23.71</v>
      </c>
      <c r="O10">
        <v>18060.849999999999</v>
      </c>
      <c r="P10">
        <v>138.99</v>
      </c>
      <c r="Q10">
        <v>988.28</v>
      </c>
      <c r="R10">
        <v>58.86</v>
      </c>
      <c r="S10">
        <v>35.43</v>
      </c>
      <c r="T10">
        <v>10564.85</v>
      </c>
      <c r="U10">
        <v>0.6</v>
      </c>
      <c r="V10">
        <v>0.85</v>
      </c>
      <c r="W10">
        <v>3.02</v>
      </c>
      <c r="X10">
        <v>0.68</v>
      </c>
      <c r="Y10">
        <v>1</v>
      </c>
      <c r="Z10">
        <v>10</v>
      </c>
    </row>
    <row r="11" spans="1:26" x14ac:dyDescent="0.3">
      <c r="A11">
        <v>9</v>
      </c>
      <c r="B11">
        <v>70</v>
      </c>
      <c r="C11" t="s">
        <v>26</v>
      </c>
      <c r="D11">
        <v>6.0511999999999997</v>
      </c>
      <c r="E11">
        <v>16.53</v>
      </c>
      <c r="F11">
        <v>13.37</v>
      </c>
      <c r="G11">
        <v>25.07</v>
      </c>
      <c r="H11">
        <v>0.4</v>
      </c>
      <c r="I11">
        <v>32</v>
      </c>
      <c r="J11">
        <v>144.88999999999999</v>
      </c>
      <c r="K11">
        <v>47.83</v>
      </c>
      <c r="L11">
        <v>3.25</v>
      </c>
      <c r="M11">
        <v>30</v>
      </c>
      <c r="N11">
        <v>23.81</v>
      </c>
      <c r="O11">
        <v>18103.18</v>
      </c>
      <c r="P11">
        <v>136.63</v>
      </c>
      <c r="Q11">
        <v>988.19</v>
      </c>
      <c r="R11">
        <v>57.2</v>
      </c>
      <c r="S11">
        <v>35.43</v>
      </c>
      <c r="T11">
        <v>9749.02</v>
      </c>
      <c r="U11">
        <v>0.62</v>
      </c>
      <c r="V11">
        <v>0.85</v>
      </c>
      <c r="W11">
        <v>3.01</v>
      </c>
      <c r="X11">
        <v>0.62</v>
      </c>
      <c r="Y11">
        <v>1</v>
      </c>
      <c r="Z11">
        <v>10</v>
      </c>
    </row>
    <row r="12" spans="1:26" x14ac:dyDescent="0.3">
      <c r="A12">
        <v>10</v>
      </c>
      <c r="B12">
        <v>70</v>
      </c>
      <c r="C12" t="s">
        <v>26</v>
      </c>
      <c r="D12">
        <v>6.1045999999999996</v>
      </c>
      <c r="E12">
        <v>16.38</v>
      </c>
      <c r="F12">
        <v>13.31</v>
      </c>
      <c r="G12">
        <v>27.55</v>
      </c>
      <c r="H12">
        <v>0.43</v>
      </c>
      <c r="I12">
        <v>29</v>
      </c>
      <c r="J12">
        <v>145.22999999999999</v>
      </c>
      <c r="K12">
        <v>47.83</v>
      </c>
      <c r="L12">
        <v>3.5</v>
      </c>
      <c r="M12">
        <v>27</v>
      </c>
      <c r="N12">
        <v>23.9</v>
      </c>
      <c r="O12">
        <v>18145.54</v>
      </c>
      <c r="P12">
        <v>134.69</v>
      </c>
      <c r="Q12">
        <v>988.19</v>
      </c>
      <c r="R12">
        <v>55.21</v>
      </c>
      <c r="S12">
        <v>35.43</v>
      </c>
      <c r="T12">
        <v>8772.16</v>
      </c>
      <c r="U12">
        <v>0.64</v>
      </c>
      <c r="V12">
        <v>0.86</v>
      </c>
      <c r="W12">
        <v>3.01</v>
      </c>
      <c r="X12">
        <v>0.56000000000000005</v>
      </c>
      <c r="Y12">
        <v>1</v>
      </c>
      <c r="Z12">
        <v>10</v>
      </c>
    </row>
    <row r="13" spans="1:26" x14ac:dyDescent="0.3">
      <c r="A13">
        <v>11</v>
      </c>
      <c r="B13">
        <v>70</v>
      </c>
      <c r="C13" t="s">
        <v>26</v>
      </c>
      <c r="D13">
        <v>6.1426999999999996</v>
      </c>
      <c r="E13">
        <v>16.28</v>
      </c>
      <c r="F13">
        <v>13.27</v>
      </c>
      <c r="G13">
        <v>29.49</v>
      </c>
      <c r="H13">
        <v>0.46</v>
      </c>
      <c r="I13">
        <v>27</v>
      </c>
      <c r="J13">
        <v>145.57</v>
      </c>
      <c r="K13">
        <v>47.83</v>
      </c>
      <c r="L13">
        <v>3.75</v>
      </c>
      <c r="M13">
        <v>25</v>
      </c>
      <c r="N13">
        <v>23.99</v>
      </c>
      <c r="O13">
        <v>18187.93</v>
      </c>
      <c r="P13">
        <v>132.59</v>
      </c>
      <c r="Q13">
        <v>988.18</v>
      </c>
      <c r="R13">
        <v>53.59</v>
      </c>
      <c r="S13">
        <v>35.43</v>
      </c>
      <c r="T13">
        <v>7972.3</v>
      </c>
      <c r="U13">
        <v>0.66</v>
      </c>
      <c r="V13">
        <v>0.86</v>
      </c>
      <c r="W13">
        <v>3.01</v>
      </c>
      <c r="X13">
        <v>0.52</v>
      </c>
      <c r="Y13">
        <v>1</v>
      </c>
      <c r="Z13">
        <v>10</v>
      </c>
    </row>
    <row r="14" spans="1:26" x14ac:dyDescent="0.3">
      <c r="A14">
        <v>12</v>
      </c>
      <c r="B14">
        <v>70</v>
      </c>
      <c r="C14" t="s">
        <v>26</v>
      </c>
      <c r="D14">
        <v>6.1773999999999996</v>
      </c>
      <c r="E14">
        <v>16.190000000000001</v>
      </c>
      <c r="F14">
        <v>13.24</v>
      </c>
      <c r="G14">
        <v>31.77</v>
      </c>
      <c r="H14">
        <v>0.49</v>
      </c>
      <c r="I14">
        <v>25</v>
      </c>
      <c r="J14">
        <v>145.91999999999999</v>
      </c>
      <c r="K14">
        <v>47.83</v>
      </c>
      <c r="L14">
        <v>4</v>
      </c>
      <c r="M14">
        <v>23</v>
      </c>
      <c r="N14">
        <v>24.09</v>
      </c>
      <c r="O14">
        <v>18230.349999999999</v>
      </c>
      <c r="P14">
        <v>130.52000000000001</v>
      </c>
      <c r="Q14">
        <v>988.14</v>
      </c>
      <c r="R14">
        <v>52.93</v>
      </c>
      <c r="S14">
        <v>35.43</v>
      </c>
      <c r="T14">
        <v>7648.86</v>
      </c>
      <c r="U14">
        <v>0.67</v>
      </c>
      <c r="V14">
        <v>0.86</v>
      </c>
      <c r="W14">
        <v>3</v>
      </c>
      <c r="X14">
        <v>0.48</v>
      </c>
      <c r="Y14">
        <v>1</v>
      </c>
      <c r="Z14">
        <v>10</v>
      </c>
    </row>
    <row r="15" spans="1:26" x14ac:dyDescent="0.3">
      <c r="A15">
        <v>13</v>
      </c>
      <c r="B15">
        <v>70</v>
      </c>
      <c r="C15" t="s">
        <v>26</v>
      </c>
      <c r="D15">
        <v>6.2183000000000002</v>
      </c>
      <c r="E15">
        <v>16.079999999999998</v>
      </c>
      <c r="F15">
        <v>13.19</v>
      </c>
      <c r="G15">
        <v>34.409999999999997</v>
      </c>
      <c r="H15">
        <v>0.51</v>
      </c>
      <c r="I15">
        <v>23</v>
      </c>
      <c r="J15">
        <v>146.26</v>
      </c>
      <c r="K15">
        <v>47.83</v>
      </c>
      <c r="L15">
        <v>4.25</v>
      </c>
      <c r="M15">
        <v>21</v>
      </c>
      <c r="N15">
        <v>24.18</v>
      </c>
      <c r="O15">
        <v>18272.810000000001</v>
      </c>
      <c r="P15">
        <v>128.51</v>
      </c>
      <c r="Q15">
        <v>988.13</v>
      </c>
      <c r="R15">
        <v>51.36</v>
      </c>
      <c r="S15">
        <v>35.43</v>
      </c>
      <c r="T15">
        <v>6874.7</v>
      </c>
      <c r="U15">
        <v>0.69</v>
      </c>
      <c r="V15">
        <v>0.86</v>
      </c>
      <c r="W15">
        <v>3</v>
      </c>
      <c r="X15">
        <v>0.43</v>
      </c>
      <c r="Y15">
        <v>1</v>
      </c>
      <c r="Z15">
        <v>10</v>
      </c>
    </row>
    <row r="16" spans="1:26" x14ac:dyDescent="0.3">
      <c r="A16">
        <v>14</v>
      </c>
      <c r="B16">
        <v>70</v>
      </c>
      <c r="C16" t="s">
        <v>26</v>
      </c>
      <c r="D16">
        <v>6.2370999999999999</v>
      </c>
      <c r="E16">
        <v>16.03</v>
      </c>
      <c r="F16">
        <v>13.17</v>
      </c>
      <c r="G16">
        <v>35.92</v>
      </c>
      <c r="H16">
        <v>0.54</v>
      </c>
      <c r="I16">
        <v>22</v>
      </c>
      <c r="J16">
        <v>146.61000000000001</v>
      </c>
      <c r="K16">
        <v>47.83</v>
      </c>
      <c r="L16">
        <v>4.5</v>
      </c>
      <c r="M16">
        <v>20</v>
      </c>
      <c r="N16">
        <v>24.28</v>
      </c>
      <c r="O16">
        <v>18315.3</v>
      </c>
      <c r="P16">
        <v>126.49</v>
      </c>
      <c r="Q16">
        <v>988.16</v>
      </c>
      <c r="R16">
        <v>50.71</v>
      </c>
      <c r="S16">
        <v>35.43</v>
      </c>
      <c r="T16">
        <v>6554.81</v>
      </c>
      <c r="U16">
        <v>0.7</v>
      </c>
      <c r="V16">
        <v>0.87</v>
      </c>
      <c r="W16">
        <v>3</v>
      </c>
      <c r="X16">
        <v>0.41</v>
      </c>
      <c r="Y16">
        <v>1</v>
      </c>
      <c r="Z16">
        <v>10</v>
      </c>
    </row>
    <row r="17" spans="1:26" x14ac:dyDescent="0.3">
      <c r="A17">
        <v>15</v>
      </c>
      <c r="B17">
        <v>70</v>
      </c>
      <c r="C17" t="s">
        <v>26</v>
      </c>
      <c r="D17">
        <v>6.2793000000000001</v>
      </c>
      <c r="E17">
        <v>15.93</v>
      </c>
      <c r="F17">
        <v>13.12</v>
      </c>
      <c r="G17">
        <v>39.36</v>
      </c>
      <c r="H17">
        <v>0.56999999999999995</v>
      </c>
      <c r="I17">
        <v>20</v>
      </c>
      <c r="J17">
        <v>146.94999999999999</v>
      </c>
      <c r="K17">
        <v>47.83</v>
      </c>
      <c r="L17">
        <v>4.75</v>
      </c>
      <c r="M17">
        <v>18</v>
      </c>
      <c r="N17">
        <v>24.37</v>
      </c>
      <c r="O17">
        <v>18357.82</v>
      </c>
      <c r="P17">
        <v>124.59</v>
      </c>
      <c r="Q17">
        <v>988.1</v>
      </c>
      <c r="R17">
        <v>49.07</v>
      </c>
      <c r="S17">
        <v>35.43</v>
      </c>
      <c r="T17">
        <v>5745.18</v>
      </c>
      <c r="U17">
        <v>0.72</v>
      </c>
      <c r="V17">
        <v>0.87</v>
      </c>
      <c r="W17">
        <v>3</v>
      </c>
      <c r="X17">
        <v>0.37</v>
      </c>
      <c r="Y17">
        <v>1</v>
      </c>
      <c r="Z17">
        <v>10</v>
      </c>
    </row>
    <row r="18" spans="1:26" x14ac:dyDescent="0.3">
      <c r="A18">
        <v>16</v>
      </c>
      <c r="B18">
        <v>70</v>
      </c>
      <c r="C18" t="s">
        <v>26</v>
      </c>
      <c r="D18">
        <v>6.2945000000000002</v>
      </c>
      <c r="E18">
        <v>15.89</v>
      </c>
      <c r="F18">
        <v>13.11</v>
      </c>
      <c r="G18">
        <v>41.4</v>
      </c>
      <c r="H18">
        <v>0.6</v>
      </c>
      <c r="I18">
        <v>19</v>
      </c>
      <c r="J18">
        <v>147.30000000000001</v>
      </c>
      <c r="K18">
        <v>47.83</v>
      </c>
      <c r="L18">
        <v>5</v>
      </c>
      <c r="M18">
        <v>17</v>
      </c>
      <c r="N18">
        <v>24.47</v>
      </c>
      <c r="O18">
        <v>18400.38</v>
      </c>
      <c r="P18">
        <v>121.77</v>
      </c>
      <c r="Q18">
        <v>988.18</v>
      </c>
      <c r="R18">
        <v>48.94</v>
      </c>
      <c r="S18">
        <v>35.43</v>
      </c>
      <c r="T18">
        <v>5687.87</v>
      </c>
      <c r="U18">
        <v>0.72</v>
      </c>
      <c r="V18">
        <v>0.87</v>
      </c>
      <c r="W18">
        <v>2.99</v>
      </c>
      <c r="X18">
        <v>0.36</v>
      </c>
      <c r="Y18">
        <v>1</v>
      </c>
      <c r="Z18">
        <v>10</v>
      </c>
    </row>
    <row r="19" spans="1:26" x14ac:dyDescent="0.3">
      <c r="A19">
        <v>17</v>
      </c>
      <c r="B19">
        <v>70</v>
      </c>
      <c r="C19" t="s">
        <v>26</v>
      </c>
      <c r="D19">
        <v>6.3121</v>
      </c>
      <c r="E19">
        <v>15.84</v>
      </c>
      <c r="F19">
        <v>13.09</v>
      </c>
      <c r="G19">
        <v>43.65</v>
      </c>
      <c r="H19">
        <v>0.63</v>
      </c>
      <c r="I19">
        <v>18</v>
      </c>
      <c r="J19">
        <v>147.63999999999999</v>
      </c>
      <c r="K19">
        <v>47.83</v>
      </c>
      <c r="L19">
        <v>5.25</v>
      </c>
      <c r="M19">
        <v>16</v>
      </c>
      <c r="N19">
        <v>24.56</v>
      </c>
      <c r="O19">
        <v>18442.97</v>
      </c>
      <c r="P19">
        <v>120.25</v>
      </c>
      <c r="Q19">
        <v>988.08</v>
      </c>
      <c r="R19">
        <v>48.27</v>
      </c>
      <c r="S19">
        <v>35.43</v>
      </c>
      <c r="T19">
        <v>5356.05</v>
      </c>
      <c r="U19">
        <v>0.73</v>
      </c>
      <c r="V19">
        <v>0.87</v>
      </c>
      <c r="W19">
        <v>3</v>
      </c>
      <c r="X19">
        <v>0.34</v>
      </c>
      <c r="Y19">
        <v>1</v>
      </c>
      <c r="Z19">
        <v>10</v>
      </c>
    </row>
    <row r="20" spans="1:26" x14ac:dyDescent="0.3">
      <c r="A20">
        <v>18</v>
      </c>
      <c r="B20">
        <v>70</v>
      </c>
      <c r="C20" t="s">
        <v>26</v>
      </c>
      <c r="D20">
        <v>6.3292999999999999</v>
      </c>
      <c r="E20">
        <v>15.8</v>
      </c>
      <c r="F20">
        <v>13.08</v>
      </c>
      <c r="G20">
        <v>46.16</v>
      </c>
      <c r="H20">
        <v>0.66</v>
      </c>
      <c r="I20">
        <v>17</v>
      </c>
      <c r="J20">
        <v>147.99</v>
      </c>
      <c r="K20">
        <v>47.83</v>
      </c>
      <c r="L20">
        <v>5.5</v>
      </c>
      <c r="M20">
        <v>13</v>
      </c>
      <c r="N20">
        <v>24.66</v>
      </c>
      <c r="O20">
        <v>18485.59</v>
      </c>
      <c r="P20">
        <v>117.76</v>
      </c>
      <c r="Q20">
        <v>988.15</v>
      </c>
      <c r="R20">
        <v>47.98</v>
      </c>
      <c r="S20">
        <v>35.43</v>
      </c>
      <c r="T20">
        <v>5215.12</v>
      </c>
      <c r="U20">
        <v>0.74</v>
      </c>
      <c r="V20">
        <v>0.87</v>
      </c>
      <c r="W20">
        <v>2.99</v>
      </c>
      <c r="X20">
        <v>0.33</v>
      </c>
      <c r="Y20">
        <v>1</v>
      </c>
      <c r="Z20">
        <v>10</v>
      </c>
    </row>
    <row r="21" spans="1:26" x14ac:dyDescent="0.3">
      <c r="A21">
        <v>19</v>
      </c>
      <c r="B21">
        <v>70</v>
      </c>
      <c r="C21" t="s">
        <v>26</v>
      </c>
      <c r="D21">
        <v>6.3489000000000004</v>
      </c>
      <c r="E21">
        <v>15.75</v>
      </c>
      <c r="F21">
        <v>13.06</v>
      </c>
      <c r="G21">
        <v>48.98</v>
      </c>
      <c r="H21">
        <v>0.69</v>
      </c>
      <c r="I21">
        <v>16</v>
      </c>
      <c r="J21">
        <v>148.33000000000001</v>
      </c>
      <c r="K21">
        <v>47.83</v>
      </c>
      <c r="L21">
        <v>5.75</v>
      </c>
      <c r="M21">
        <v>8</v>
      </c>
      <c r="N21">
        <v>24.75</v>
      </c>
      <c r="O21">
        <v>18528.25</v>
      </c>
      <c r="P21">
        <v>116.81</v>
      </c>
      <c r="Q21">
        <v>988.1</v>
      </c>
      <c r="R21">
        <v>46.97</v>
      </c>
      <c r="S21">
        <v>35.43</v>
      </c>
      <c r="T21">
        <v>4714.33</v>
      </c>
      <c r="U21">
        <v>0.75</v>
      </c>
      <c r="V21">
        <v>0.87</v>
      </c>
      <c r="W21">
        <v>3</v>
      </c>
      <c r="X21">
        <v>0.31</v>
      </c>
      <c r="Y21">
        <v>1</v>
      </c>
      <c r="Z21">
        <v>10</v>
      </c>
    </row>
    <row r="22" spans="1:26" x14ac:dyDescent="0.3">
      <c r="A22">
        <v>20</v>
      </c>
      <c r="B22">
        <v>70</v>
      </c>
      <c r="C22" t="s">
        <v>26</v>
      </c>
      <c r="D22">
        <v>6.3398000000000003</v>
      </c>
      <c r="E22">
        <v>15.77</v>
      </c>
      <c r="F22">
        <v>13.08</v>
      </c>
      <c r="G22">
        <v>49.06</v>
      </c>
      <c r="H22">
        <v>0.71</v>
      </c>
      <c r="I22">
        <v>16</v>
      </c>
      <c r="J22">
        <v>148.68</v>
      </c>
      <c r="K22">
        <v>47.83</v>
      </c>
      <c r="L22">
        <v>6</v>
      </c>
      <c r="M22">
        <v>3</v>
      </c>
      <c r="N22">
        <v>24.85</v>
      </c>
      <c r="O22">
        <v>18570.939999999999</v>
      </c>
      <c r="P22">
        <v>115.97</v>
      </c>
      <c r="Q22">
        <v>988.09</v>
      </c>
      <c r="R22">
        <v>47.51</v>
      </c>
      <c r="S22">
        <v>35.43</v>
      </c>
      <c r="T22">
        <v>4986.78</v>
      </c>
      <c r="U22">
        <v>0.75</v>
      </c>
      <c r="V22">
        <v>0.87</v>
      </c>
      <c r="W22">
        <v>3.01</v>
      </c>
      <c r="X22">
        <v>0.33</v>
      </c>
      <c r="Y22">
        <v>1</v>
      </c>
      <c r="Z22">
        <v>10</v>
      </c>
    </row>
    <row r="23" spans="1:26" x14ac:dyDescent="0.3">
      <c r="A23">
        <v>21</v>
      </c>
      <c r="B23">
        <v>70</v>
      </c>
      <c r="C23" t="s">
        <v>26</v>
      </c>
      <c r="D23">
        <v>6.3426</v>
      </c>
      <c r="E23">
        <v>15.77</v>
      </c>
      <c r="F23">
        <v>13.08</v>
      </c>
      <c r="G23">
        <v>49.03</v>
      </c>
      <c r="H23">
        <v>0.74</v>
      </c>
      <c r="I23">
        <v>16</v>
      </c>
      <c r="J23">
        <v>149.02000000000001</v>
      </c>
      <c r="K23">
        <v>47.83</v>
      </c>
      <c r="L23">
        <v>6.25</v>
      </c>
      <c r="M23">
        <v>1</v>
      </c>
      <c r="N23">
        <v>24.95</v>
      </c>
      <c r="O23">
        <v>18613.66</v>
      </c>
      <c r="P23">
        <v>116.03</v>
      </c>
      <c r="Q23">
        <v>988.17</v>
      </c>
      <c r="R23">
        <v>47.29</v>
      </c>
      <c r="S23">
        <v>35.43</v>
      </c>
      <c r="T23">
        <v>4876.43</v>
      </c>
      <c r="U23">
        <v>0.75</v>
      </c>
      <c r="V23">
        <v>0.87</v>
      </c>
      <c r="W23">
        <v>3.01</v>
      </c>
      <c r="X23">
        <v>0.32</v>
      </c>
      <c r="Y23">
        <v>1</v>
      </c>
      <c r="Z23">
        <v>10</v>
      </c>
    </row>
    <row r="24" spans="1:26" x14ac:dyDescent="0.3">
      <c r="A24">
        <v>22</v>
      </c>
      <c r="B24">
        <v>70</v>
      </c>
      <c r="C24" t="s">
        <v>26</v>
      </c>
      <c r="D24">
        <v>6.3426999999999998</v>
      </c>
      <c r="E24">
        <v>15.77</v>
      </c>
      <c r="F24">
        <v>13.08</v>
      </c>
      <c r="G24">
        <v>49.03</v>
      </c>
      <c r="H24">
        <v>0.77</v>
      </c>
      <c r="I24">
        <v>16</v>
      </c>
      <c r="J24">
        <v>149.37</v>
      </c>
      <c r="K24">
        <v>47.83</v>
      </c>
      <c r="L24">
        <v>6.5</v>
      </c>
      <c r="M24">
        <v>1</v>
      </c>
      <c r="N24">
        <v>25.04</v>
      </c>
      <c r="O24">
        <v>18656.419999999998</v>
      </c>
      <c r="P24">
        <v>116.07</v>
      </c>
      <c r="Q24">
        <v>988.17</v>
      </c>
      <c r="R24">
        <v>47.33</v>
      </c>
      <c r="S24">
        <v>35.43</v>
      </c>
      <c r="T24">
        <v>4898.13</v>
      </c>
      <c r="U24">
        <v>0.75</v>
      </c>
      <c r="V24">
        <v>0.87</v>
      </c>
      <c r="W24">
        <v>3.01</v>
      </c>
      <c r="X24">
        <v>0.32</v>
      </c>
      <c r="Y24">
        <v>1</v>
      </c>
      <c r="Z24">
        <v>10</v>
      </c>
    </row>
    <row r="25" spans="1:26" x14ac:dyDescent="0.3">
      <c r="A25">
        <v>23</v>
      </c>
      <c r="B25">
        <v>70</v>
      </c>
      <c r="C25" t="s">
        <v>26</v>
      </c>
      <c r="D25">
        <v>6.3415999999999997</v>
      </c>
      <c r="E25">
        <v>15.77</v>
      </c>
      <c r="F25">
        <v>13.08</v>
      </c>
      <c r="G25">
        <v>49.04</v>
      </c>
      <c r="H25">
        <v>0.8</v>
      </c>
      <c r="I25">
        <v>16</v>
      </c>
      <c r="J25">
        <v>149.72</v>
      </c>
      <c r="K25">
        <v>47.83</v>
      </c>
      <c r="L25">
        <v>6.75</v>
      </c>
      <c r="M25">
        <v>0</v>
      </c>
      <c r="N25">
        <v>25.14</v>
      </c>
      <c r="O25">
        <v>18699.2</v>
      </c>
      <c r="P25">
        <v>116.09</v>
      </c>
      <c r="Q25">
        <v>988.17</v>
      </c>
      <c r="R25">
        <v>47.37</v>
      </c>
      <c r="S25">
        <v>35.43</v>
      </c>
      <c r="T25">
        <v>4918.17</v>
      </c>
      <c r="U25">
        <v>0.75</v>
      </c>
      <c r="V25">
        <v>0.87</v>
      </c>
      <c r="W25">
        <v>3.01</v>
      </c>
      <c r="X25">
        <v>0.32</v>
      </c>
      <c r="Y25">
        <v>1</v>
      </c>
      <c r="Z2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ilha8"/>
  <dimension ref="A1:Z3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90</v>
      </c>
      <c r="C2" t="s">
        <v>26</v>
      </c>
      <c r="D2">
        <v>4.2602000000000002</v>
      </c>
      <c r="E2">
        <v>23.47</v>
      </c>
      <c r="F2">
        <v>15.79</v>
      </c>
      <c r="G2">
        <v>6.4</v>
      </c>
      <c r="H2">
        <v>0.1</v>
      </c>
      <c r="I2">
        <v>148</v>
      </c>
      <c r="J2">
        <v>176.73</v>
      </c>
      <c r="K2">
        <v>52.44</v>
      </c>
      <c r="L2">
        <v>1</v>
      </c>
      <c r="M2">
        <v>146</v>
      </c>
      <c r="N2">
        <v>33.29</v>
      </c>
      <c r="O2">
        <v>22031.19</v>
      </c>
      <c r="P2">
        <v>205.44</v>
      </c>
      <c r="Q2">
        <v>988.72</v>
      </c>
      <c r="R2">
        <v>131.74</v>
      </c>
      <c r="S2">
        <v>35.43</v>
      </c>
      <c r="T2">
        <v>46441.94</v>
      </c>
      <c r="U2">
        <v>0.27</v>
      </c>
      <c r="V2">
        <v>0.72</v>
      </c>
      <c r="W2">
        <v>3.22</v>
      </c>
      <c r="X2">
        <v>3.03</v>
      </c>
      <c r="Y2">
        <v>1</v>
      </c>
      <c r="Z2">
        <v>10</v>
      </c>
    </row>
    <row r="3" spans="1:26" x14ac:dyDescent="0.3">
      <c r="A3">
        <v>1</v>
      </c>
      <c r="B3">
        <v>90</v>
      </c>
      <c r="C3" t="s">
        <v>26</v>
      </c>
      <c r="D3">
        <v>4.6593</v>
      </c>
      <c r="E3">
        <v>21.46</v>
      </c>
      <c r="F3">
        <v>15.02</v>
      </c>
      <c r="G3">
        <v>7.98</v>
      </c>
      <c r="H3">
        <v>0.13</v>
      </c>
      <c r="I3">
        <v>113</v>
      </c>
      <c r="J3">
        <v>177.1</v>
      </c>
      <c r="K3">
        <v>52.44</v>
      </c>
      <c r="L3">
        <v>1.25</v>
      </c>
      <c r="M3">
        <v>111</v>
      </c>
      <c r="N3">
        <v>33.409999999999997</v>
      </c>
      <c r="O3">
        <v>22076.81</v>
      </c>
      <c r="P3">
        <v>194.3</v>
      </c>
      <c r="Q3">
        <v>988.47</v>
      </c>
      <c r="R3">
        <v>108.49</v>
      </c>
      <c r="S3">
        <v>35.43</v>
      </c>
      <c r="T3">
        <v>34990.160000000003</v>
      </c>
      <c r="U3">
        <v>0.33</v>
      </c>
      <c r="V3">
        <v>0.76</v>
      </c>
      <c r="W3">
        <v>3.14</v>
      </c>
      <c r="X3">
        <v>2.27</v>
      </c>
      <c r="Y3">
        <v>1</v>
      </c>
      <c r="Z3">
        <v>10</v>
      </c>
    </row>
    <row r="4" spans="1:26" x14ac:dyDescent="0.3">
      <c r="A4">
        <v>2</v>
      </c>
      <c r="B4">
        <v>90</v>
      </c>
      <c r="C4" t="s">
        <v>26</v>
      </c>
      <c r="D4">
        <v>4.9432999999999998</v>
      </c>
      <c r="E4">
        <v>20.23</v>
      </c>
      <c r="F4">
        <v>14.57</v>
      </c>
      <c r="G4">
        <v>9.61</v>
      </c>
      <c r="H4">
        <v>0.15</v>
      </c>
      <c r="I4">
        <v>91</v>
      </c>
      <c r="J4">
        <v>177.47</v>
      </c>
      <c r="K4">
        <v>52.44</v>
      </c>
      <c r="L4">
        <v>1.5</v>
      </c>
      <c r="M4">
        <v>89</v>
      </c>
      <c r="N4">
        <v>33.53</v>
      </c>
      <c r="O4">
        <v>22122.46</v>
      </c>
      <c r="P4">
        <v>187.47</v>
      </c>
      <c r="Q4">
        <v>988.38</v>
      </c>
      <c r="R4">
        <v>94.31</v>
      </c>
      <c r="S4">
        <v>35.43</v>
      </c>
      <c r="T4">
        <v>28012.12</v>
      </c>
      <c r="U4">
        <v>0.38</v>
      </c>
      <c r="V4">
        <v>0.78</v>
      </c>
      <c r="W4">
        <v>3.11</v>
      </c>
      <c r="X4">
        <v>1.82</v>
      </c>
      <c r="Y4">
        <v>1</v>
      </c>
      <c r="Z4">
        <v>10</v>
      </c>
    </row>
    <row r="5" spans="1:26" x14ac:dyDescent="0.3">
      <c r="A5">
        <v>3</v>
      </c>
      <c r="B5">
        <v>90</v>
      </c>
      <c r="C5" t="s">
        <v>26</v>
      </c>
      <c r="D5">
        <v>5.1528999999999998</v>
      </c>
      <c r="E5">
        <v>19.41</v>
      </c>
      <c r="F5">
        <v>14.28</v>
      </c>
      <c r="G5">
        <v>11.28</v>
      </c>
      <c r="H5">
        <v>0.17</v>
      </c>
      <c r="I5">
        <v>76</v>
      </c>
      <c r="J5">
        <v>177.84</v>
      </c>
      <c r="K5">
        <v>52.44</v>
      </c>
      <c r="L5">
        <v>1.75</v>
      </c>
      <c r="M5">
        <v>74</v>
      </c>
      <c r="N5">
        <v>33.65</v>
      </c>
      <c r="O5">
        <v>22168.15</v>
      </c>
      <c r="P5">
        <v>182.49</v>
      </c>
      <c r="Q5">
        <v>988.2</v>
      </c>
      <c r="R5">
        <v>85.14</v>
      </c>
      <c r="S5">
        <v>35.43</v>
      </c>
      <c r="T5">
        <v>23500.06</v>
      </c>
      <c r="U5">
        <v>0.42</v>
      </c>
      <c r="V5">
        <v>0.8</v>
      </c>
      <c r="W5">
        <v>3.09</v>
      </c>
      <c r="X5">
        <v>1.53</v>
      </c>
      <c r="Y5">
        <v>1</v>
      </c>
      <c r="Z5">
        <v>10</v>
      </c>
    </row>
    <row r="6" spans="1:26" x14ac:dyDescent="0.3">
      <c r="A6">
        <v>4</v>
      </c>
      <c r="B6">
        <v>90</v>
      </c>
      <c r="C6" t="s">
        <v>26</v>
      </c>
      <c r="D6">
        <v>5.3277000000000001</v>
      </c>
      <c r="E6">
        <v>18.77</v>
      </c>
      <c r="F6">
        <v>14.04</v>
      </c>
      <c r="G6">
        <v>12.96</v>
      </c>
      <c r="H6">
        <v>0.2</v>
      </c>
      <c r="I6">
        <v>65</v>
      </c>
      <c r="J6">
        <v>178.21</v>
      </c>
      <c r="K6">
        <v>52.44</v>
      </c>
      <c r="L6">
        <v>2</v>
      </c>
      <c r="M6">
        <v>63</v>
      </c>
      <c r="N6">
        <v>33.770000000000003</v>
      </c>
      <c r="O6">
        <v>22213.89</v>
      </c>
      <c r="P6">
        <v>178.4</v>
      </c>
      <c r="Q6">
        <v>988.27</v>
      </c>
      <c r="R6">
        <v>77.41</v>
      </c>
      <c r="S6">
        <v>35.43</v>
      </c>
      <c r="T6">
        <v>19690.27</v>
      </c>
      <c r="U6">
        <v>0.46</v>
      </c>
      <c r="V6">
        <v>0.81</v>
      </c>
      <c r="W6">
        <v>3.08</v>
      </c>
      <c r="X6">
        <v>1.28</v>
      </c>
      <c r="Y6">
        <v>1</v>
      </c>
      <c r="Z6">
        <v>10</v>
      </c>
    </row>
    <row r="7" spans="1:26" x14ac:dyDescent="0.3">
      <c r="A7">
        <v>5</v>
      </c>
      <c r="B7">
        <v>90</v>
      </c>
      <c r="C7" t="s">
        <v>26</v>
      </c>
      <c r="D7">
        <v>5.4564000000000004</v>
      </c>
      <c r="E7">
        <v>18.329999999999998</v>
      </c>
      <c r="F7">
        <v>13.88</v>
      </c>
      <c r="G7">
        <v>14.61</v>
      </c>
      <c r="H7">
        <v>0.22</v>
      </c>
      <c r="I7">
        <v>57</v>
      </c>
      <c r="J7">
        <v>178.59</v>
      </c>
      <c r="K7">
        <v>52.44</v>
      </c>
      <c r="L7">
        <v>2.25</v>
      </c>
      <c r="M7">
        <v>55</v>
      </c>
      <c r="N7">
        <v>33.89</v>
      </c>
      <c r="O7">
        <v>22259.66</v>
      </c>
      <c r="P7">
        <v>175.25</v>
      </c>
      <c r="Q7">
        <v>988.29</v>
      </c>
      <c r="R7">
        <v>72.81</v>
      </c>
      <c r="S7">
        <v>35.43</v>
      </c>
      <c r="T7">
        <v>17430.48</v>
      </c>
      <c r="U7">
        <v>0.49</v>
      </c>
      <c r="V7">
        <v>0.82</v>
      </c>
      <c r="W7">
        <v>3.06</v>
      </c>
      <c r="X7">
        <v>1.1200000000000001</v>
      </c>
      <c r="Y7">
        <v>1</v>
      </c>
      <c r="Z7">
        <v>10</v>
      </c>
    </row>
    <row r="8" spans="1:26" x14ac:dyDescent="0.3">
      <c r="A8">
        <v>6</v>
      </c>
      <c r="B8">
        <v>90</v>
      </c>
      <c r="C8" t="s">
        <v>26</v>
      </c>
      <c r="D8">
        <v>5.5526</v>
      </c>
      <c r="E8">
        <v>18.010000000000002</v>
      </c>
      <c r="F8">
        <v>13.78</v>
      </c>
      <c r="G8">
        <v>16.21</v>
      </c>
      <c r="H8">
        <v>0.25</v>
      </c>
      <c r="I8">
        <v>51</v>
      </c>
      <c r="J8">
        <v>178.96</v>
      </c>
      <c r="K8">
        <v>52.44</v>
      </c>
      <c r="L8">
        <v>2.5</v>
      </c>
      <c r="M8">
        <v>49</v>
      </c>
      <c r="N8">
        <v>34.020000000000003</v>
      </c>
      <c r="O8">
        <v>22305.48</v>
      </c>
      <c r="P8">
        <v>172.66</v>
      </c>
      <c r="Q8">
        <v>988.12</v>
      </c>
      <c r="R8">
        <v>69.62</v>
      </c>
      <c r="S8">
        <v>35.43</v>
      </c>
      <c r="T8">
        <v>15864.82</v>
      </c>
      <c r="U8">
        <v>0.51</v>
      </c>
      <c r="V8">
        <v>0.83</v>
      </c>
      <c r="W8">
        <v>3.05</v>
      </c>
      <c r="X8">
        <v>1.02</v>
      </c>
      <c r="Y8">
        <v>1</v>
      </c>
      <c r="Z8">
        <v>10</v>
      </c>
    </row>
    <row r="9" spans="1:26" x14ac:dyDescent="0.3">
      <c r="A9">
        <v>7</v>
      </c>
      <c r="B9">
        <v>90</v>
      </c>
      <c r="C9" t="s">
        <v>26</v>
      </c>
      <c r="D9">
        <v>5.6437999999999997</v>
      </c>
      <c r="E9">
        <v>17.72</v>
      </c>
      <c r="F9">
        <v>13.66</v>
      </c>
      <c r="G9">
        <v>17.82</v>
      </c>
      <c r="H9">
        <v>0.27</v>
      </c>
      <c r="I9">
        <v>46</v>
      </c>
      <c r="J9">
        <v>179.33</v>
      </c>
      <c r="K9">
        <v>52.44</v>
      </c>
      <c r="L9">
        <v>2.75</v>
      </c>
      <c r="M9">
        <v>44</v>
      </c>
      <c r="N9">
        <v>34.14</v>
      </c>
      <c r="O9">
        <v>22351.34</v>
      </c>
      <c r="P9">
        <v>170.31</v>
      </c>
      <c r="Q9">
        <v>988.28</v>
      </c>
      <c r="R9">
        <v>66</v>
      </c>
      <c r="S9">
        <v>35.43</v>
      </c>
      <c r="T9">
        <v>14082.12</v>
      </c>
      <c r="U9">
        <v>0.54</v>
      </c>
      <c r="V9">
        <v>0.83</v>
      </c>
      <c r="W9">
        <v>3.04</v>
      </c>
      <c r="X9">
        <v>0.91</v>
      </c>
      <c r="Y9">
        <v>1</v>
      </c>
      <c r="Z9">
        <v>10</v>
      </c>
    </row>
    <row r="10" spans="1:26" x14ac:dyDescent="0.3">
      <c r="A10">
        <v>8</v>
      </c>
      <c r="B10">
        <v>90</v>
      </c>
      <c r="C10" t="s">
        <v>26</v>
      </c>
      <c r="D10">
        <v>5.7176</v>
      </c>
      <c r="E10">
        <v>17.489999999999998</v>
      </c>
      <c r="F10">
        <v>13.58</v>
      </c>
      <c r="G10">
        <v>19.39</v>
      </c>
      <c r="H10">
        <v>0.3</v>
      </c>
      <c r="I10">
        <v>42</v>
      </c>
      <c r="J10">
        <v>179.7</v>
      </c>
      <c r="K10">
        <v>52.44</v>
      </c>
      <c r="L10">
        <v>3</v>
      </c>
      <c r="M10">
        <v>40</v>
      </c>
      <c r="N10">
        <v>34.26</v>
      </c>
      <c r="O10">
        <v>22397.24</v>
      </c>
      <c r="P10">
        <v>168.15</v>
      </c>
      <c r="Q10">
        <v>988.12</v>
      </c>
      <c r="R10">
        <v>63.35</v>
      </c>
      <c r="S10">
        <v>35.43</v>
      </c>
      <c r="T10">
        <v>12774.9</v>
      </c>
      <c r="U10">
        <v>0.56000000000000005</v>
      </c>
      <c r="V10">
        <v>0.84</v>
      </c>
      <c r="W10">
        <v>3.03</v>
      </c>
      <c r="X10">
        <v>0.82</v>
      </c>
      <c r="Y10">
        <v>1</v>
      </c>
      <c r="Z10">
        <v>10</v>
      </c>
    </row>
    <row r="11" spans="1:26" x14ac:dyDescent="0.3">
      <c r="A11">
        <v>9</v>
      </c>
      <c r="B11">
        <v>90</v>
      </c>
      <c r="C11" t="s">
        <v>26</v>
      </c>
      <c r="D11">
        <v>5.7925000000000004</v>
      </c>
      <c r="E11">
        <v>17.260000000000002</v>
      </c>
      <c r="F11">
        <v>13.49</v>
      </c>
      <c r="G11">
        <v>21.3</v>
      </c>
      <c r="H11">
        <v>0.32</v>
      </c>
      <c r="I11">
        <v>38</v>
      </c>
      <c r="J11">
        <v>180.07</v>
      </c>
      <c r="K11">
        <v>52.44</v>
      </c>
      <c r="L11">
        <v>3.25</v>
      </c>
      <c r="M11">
        <v>36</v>
      </c>
      <c r="N11">
        <v>34.380000000000003</v>
      </c>
      <c r="O11">
        <v>22443.18</v>
      </c>
      <c r="P11">
        <v>165.95</v>
      </c>
      <c r="Q11">
        <v>988.19</v>
      </c>
      <c r="R11">
        <v>60.66</v>
      </c>
      <c r="S11">
        <v>35.43</v>
      </c>
      <c r="T11">
        <v>11453.54</v>
      </c>
      <c r="U11">
        <v>0.57999999999999996</v>
      </c>
      <c r="V11">
        <v>0.84</v>
      </c>
      <c r="W11">
        <v>3.03</v>
      </c>
      <c r="X11">
        <v>0.74</v>
      </c>
      <c r="Y11">
        <v>1</v>
      </c>
      <c r="Z11">
        <v>10</v>
      </c>
    </row>
    <row r="12" spans="1:26" x14ac:dyDescent="0.3">
      <c r="A12">
        <v>10</v>
      </c>
      <c r="B12">
        <v>90</v>
      </c>
      <c r="C12" t="s">
        <v>26</v>
      </c>
      <c r="D12">
        <v>5.8482000000000003</v>
      </c>
      <c r="E12">
        <v>17.100000000000001</v>
      </c>
      <c r="F12">
        <v>13.43</v>
      </c>
      <c r="G12">
        <v>23.03</v>
      </c>
      <c r="H12">
        <v>0.34</v>
      </c>
      <c r="I12">
        <v>35</v>
      </c>
      <c r="J12">
        <v>180.45</v>
      </c>
      <c r="K12">
        <v>52.44</v>
      </c>
      <c r="L12">
        <v>3.5</v>
      </c>
      <c r="M12">
        <v>33</v>
      </c>
      <c r="N12">
        <v>34.51</v>
      </c>
      <c r="O12">
        <v>22489.16</v>
      </c>
      <c r="P12">
        <v>164.05</v>
      </c>
      <c r="Q12">
        <v>988.27</v>
      </c>
      <c r="R12">
        <v>58.78</v>
      </c>
      <c r="S12">
        <v>35.43</v>
      </c>
      <c r="T12">
        <v>10525.6</v>
      </c>
      <c r="U12">
        <v>0.6</v>
      </c>
      <c r="V12">
        <v>0.85</v>
      </c>
      <c r="W12">
        <v>3.02</v>
      </c>
      <c r="X12">
        <v>0.68</v>
      </c>
      <c r="Y12">
        <v>1</v>
      </c>
      <c r="Z12">
        <v>10</v>
      </c>
    </row>
    <row r="13" spans="1:26" x14ac:dyDescent="0.3">
      <c r="A13">
        <v>11</v>
      </c>
      <c r="B13">
        <v>90</v>
      </c>
      <c r="C13" t="s">
        <v>26</v>
      </c>
      <c r="D13">
        <v>5.9069000000000003</v>
      </c>
      <c r="E13">
        <v>16.93</v>
      </c>
      <c r="F13">
        <v>13.37</v>
      </c>
      <c r="G13">
        <v>25.07</v>
      </c>
      <c r="H13">
        <v>0.37</v>
      </c>
      <c r="I13">
        <v>32</v>
      </c>
      <c r="J13">
        <v>180.82</v>
      </c>
      <c r="K13">
        <v>52.44</v>
      </c>
      <c r="L13">
        <v>3.75</v>
      </c>
      <c r="M13">
        <v>30</v>
      </c>
      <c r="N13">
        <v>34.630000000000003</v>
      </c>
      <c r="O13">
        <v>22535.19</v>
      </c>
      <c r="P13">
        <v>162.07</v>
      </c>
      <c r="Q13">
        <v>988.12</v>
      </c>
      <c r="R13">
        <v>56.89</v>
      </c>
      <c r="S13">
        <v>35.43</v>
      </c>
      <c r="T13">
        <v>9593.84</v>
      </c>
      <c r="U13">
        <v>0.62</v>
      </c>
      <c r="V13">
        <v>0.85</v>
      </c>
      <c r="W13">
        <v>3.02</v>
      </c>
      <c r="X13">
        <v>0.62</v>
      </c>
      <c r="Y13">
        <v>1</v>
      </c>
      <c r="Z13">
        <v>10</v>
      </c>
    </row>
    <row r="14" spans="1:26" x14ac:dyDescent="0.3">
      <c r="A14">
        <v>12</v>
      </c>
      <c r="B14">
        <v>90</v>
      </c>
      <c r="C14" t="s">
        <v>26</v>
      </c>
      <c r="D14">
        <v>5.9459999999999997</v>
      </c>
      <c r="E14">
        <v>16.82</v>
      </c>
      <c r="F14">
        <v>13.33</v>
      </c>
      <c r="G14">
        <v>26.66</v>
      </c>
      <c r="H14">
        <v>0.39</v>
      </c>
      <c r="I14">
        <v>30</v>
      </c>
      <c r="J14">
        <v>181.19</v>
      </c>
      <c r="K14">
        <v>52.44</v>
      </c>
      <c r="L14">
        <v>4</v>
      </c>
      <c r="M14">
        <v>28</v>
      </c>
      <c r="N14">
        <v>34.75</v>
      </c>
      <c r="O14">
        <v>22581.25</v>
      </c>
      <c r="P14">
        <v>160.56</v>
      </c>
      <c r="Q14">
        <v>988.23</v>
      </c>
      <c r="R14">
        <v>55.75</v>
      </c>
      <c r="S14">
        <v>35.43</v>
      </c>
      <c r="T14">
        <v>9038.39</v>
      </c>
      <c r="U14">
        <v>0.64</v>
      </c>
      <c r="V14">
        <v>0.85</v>
      </c>
      <c r="W14">
        <v>3.01</v>
      </c>
      <c r="X14">
        <v>0.57999999999999996</v>
      </c>
      <c r="Y14">
        <v>1</v>
      </c>
      <c r="Z14">
        <v>10</v>
      </c>
    </row>
    <row r="15" spans="1:26" x14ac:dyDescent="0.3">
      <c r="A15">
        <v>13</v>
      </c>
      <c r="B15">
        <v>90</v>
      </c>
      <c r="C15" t="s">
        <v>26</v>
      </c>
      <c r="D15">
        <v>5.9823000000000004</v>
      </c>
      <c r="E15">
        <v>16.72</v>
      </c>
      <c r="F15">
        <v>13.3</v>
      </c>
      <c r="G15">
        <v>28.5</v>
      </c>
      <c r="H15">
        <v>0.42</v>
      </c>
      <c r="I15">
        <v>28</v>
      </c>
      <c r="J15">
        <v>181.57</v>
      </c>
      <c r="K15">
        <v>52.44</v>
      </c>
      <c r="L15">
        <v>4.25</v>
      </c>
      <c r="M15">
        <v>26</v>
      </c>
      <c r="N15">
        <v>34.880000000000003</v>
      </c>
      <c r="O15">
        <v>22627.360000000001</v>
      </c>
      <c r="P15">
        <v>158.72999999999999</v>
      </c>
      <c r="Q15">
        <v>988.32</v>
      </c>
      <c r="R15">
        <v>54.52</v>
      </c>
      <c r="S15">
        <v>35.43</v>
      </c>
      <c r="T15">
        <v>8430.24</v>
      </c>
      <c r="U15">
        <v>0.65</v>
      </c>
      <c r="V15">
        <v>0.86</v>
      </c>
      <c r="W15">
        <v>3.01</v>
      </c>
      <c r="X15">
        <v>0.54</v>
      </c>
      <c r="Y15">
        <v>1</v>
      </c>
      <c r="Z15">
        <v>10</v>
      </c>
    </row>
    <row r="16" spans="1:26" x14ac:dyDescent="0.3">
      <c r="A16">
        <v>14</v>
      </c>
      <c r="B16">
        <v>90</v>
      </c>
      <c r="C16" t="s">
        <v>26</v>
      </c>
      <c r="D16">
        <v>6.0225999999999997</v>
      </c>
      <c r="E16">
        <v>16.600000000000001</v>
      </c>
      <c r="F16">
        <v>13.26</v>
      </c>
      <c r="G16">
        <v>30.6</v>
      </c>
      <c r="H16">
        <v>0.44</v>
      </c>
      <c r="I16">
        <v>26</v>
      </c>
      <c r="J16">
        <v>181.94</v>
      </c>
      <c r="K16">
        <v>52.44</v>
      </c>
      <c r="L16">
        <v>4.5</v>
      </c>
      <c r="M16">
        <v>24</v>
      </c>
      <c r="N16">
        <v>35</v>
      </c>
      <c r="O16">
        <v>22673.63</v>
      </c>
      <c r="P16">
        <v>157.07</v>
      </c>
      <c r="Q16">
        <v>988.21</v>
      </c>
      <c r="R16">
        <v>53.3</v>
      </c>
      <c r="S16">
        <v>35.43</v>
      </c>
      <c r="T16">
        <v>7831.72</v>
      </c>
      <c r="U16">
        <v>0.66</v>
      </c>
      <c r="V16">
        <v>0.86</v>
      </c>
      <c r="W16">
        <v>3.01</v>
      </c>
      <c r="X16">
        <v>0.51</v>
      </c>
      <c r="Y16">
        <v>1</v>
      </c>
      <c r="Z16">
        <v>10</v>
      </c>
    </row>
    <row r="17" spans="1:26" x14ac:dyDescent="0.3">
      <c r="A17">
        <v>15</v>
      </c>
      <c r="B17">
        <v>90</v>
      </c>
      <c r="C17" t="s">
        <v>26</v>
      </c>
      <c r="D17">
        <v>6.0438000000000001</v>
      </c>
      <c r="E17">
        <v>16.55</v>
      </c>
      <c r="F17">
        <v>13.24</v>
      </c>
      <c r="G17">
        <v>31.77</v>
      </c>
      <c r="H17">
        <v>0.46</v>
      </c>
      <c r="I17">
        <v>25</v>
      </c>
      <c r="J17">
        <v>182.32</v>
      </c>
      <c r="K17">
        <v>52.44</v>
      </c>
      <c r="L17">
        <v>4.75</v>
      </c>
      <c r="M17">
        <v>23</v>
      </c>
      <c r="N17">
        <v>35.119999999999997</v>
      </c>
      <c r="O17">
        <v>22719.83</v>
      </c>
      <c r="P17">
        <v>155.84</v>
      </c>
      <c r="Q17">
        <v>988.27</v>
      </c>
      <c r="R17">
        <v>52.59</v>
      </c>
      <c r="S17">
        <v>35.43</v>
      </c>
      <c r="T17">
        <v>7481.44</v>
      </c>
      <c r="U17">
        <v>0.67</v>
      </c>
      <c r="V17">
        <v>0.86</v>
      </c>
      <c r="W17">
        <v>3.01</v>
      </c>
      <c r="X17">
        <v>0.48</v>
      </c>
      <c r="Y17">
        <v>1</v>
      </c>
      <c r="Z17">
        <v>10</v>
      </c>
    </row>
    <row r="18" spans="1:26" x14ac:dyDescent="0.3">
      <c r="A18">
        <v>16</v>
      </c>
      <c r="B18">
        <v>90</v>
      </c>
      <c r="C18" t="s">
        <v>26</v>
      </c>
      <c r="D18">
        <v>6.0655999999999999</v>
      </c>
      <c r="E18">
        <v>16.489999999999998</v>
      </c>
      <c r="F18">
        <v>13.21</v>
      </c>
      <c r="G18">
        <v>33.03</v>
      </c>
      <c r="H18">
        <v>0.49</v>
      </c>
      <c r="I18">
        <v>24</v>
      </c>
      <c r="J18">
        <v>182.69</v>
      </c>
      <c r="K18">
        <v>52.44</v>
      </c>
      <c r="L18">
        <v>5</v>
      </c>
      <c r="M18">
        <v>22</v>
      </c>
      <c r="N18">
        <v>35.25</v>
      </c>
      <c r="O18">
        <v>22766.06</v>
      </c>
      <c r="P18">
        <v>154.22999999999999</v>
      </c>
      <c r="Q18">
        <v>988.15</v>
      </c>
      <c r="R18">
        <v>52.01</v>
      </c>
      <c r="S18">
        <v>35.43</v>
      </c>
      <c r="T18">
        <v>7194.73</v>
      </c>
      <c r="U18">
        <v>0.68</v>
      </c>
      <c r="V18">
        <v>0.86</v>
      </c>
      <c r="W18">
        <v>3</v>
      </c>
      <c r="X18">
        <v>0.46</v>
      </c>
      <c r="Y18">
        <v>1</v>
      </c>
      <c r="Z18">
        <v>10</v>
      </c>
    </row>
    <row r="19" spans="1:26" x14ac:dyDescent="0.3">
      <c r="A19">
        <v>17</v>
      </c>
      <c r="B19">
        <v>90</v>
      </c>
      <c r="C19" t="s">
        <v>26</v>
      </c>
      <c r="D19">
        <v>6.1078000000000001</v>
      </c>
      <c r="E19">
        <v>16.37</v>
      </c>
      <c r="F19">
        <v>13.17</v>
      </c>
      <c r="G19">
        <v>35.92</v>
      </c>
      <c r="H19">
        <v>0.51</v>
      </c>
      <c r="I19">
        <v>22</v>
      </c>
      <c r="J19">
        <v>183.07</v>
      </c>
      <c r="K19">
        <v>52.44</v>
      </c>
      <c r="L19">
        <v>5.25</v>
      </c>
      <c r="M19">
        <v>20</v>
      </c>
      <c r="N19">
        <v>35.369999999999997</v>
      </c>
      <c r="O19">
        <v>22812.34</v>
      </c>
      <c r="P19">
        <v>152.53</v>
      </c>
      <c r="Q19">
        <v>988.16</v>
      </c>
      <c r="R19">
        <v>50.64</v>
      </c>
      <c r="S19">
        <v>35.43</v>
      </c>
      <c r="T19">
        <v>6520.69</v>
      </c>
      <c r="U19">
        <v>0.7</v>
      </c>
      <c r="V19">
        <v>0.87</v>
      </c>
      <c r="W19">
        <v>3</v>
      </c>
      <c r="X19">
        <v>0.42</v>
      </c>
      <c r="Y19">
        <v>1</v>
      </c>
      <c r="Z19">
        <v>10</v>
      </c>
    </row>
    <row r="20" spans="1:26" x14ac:dyDescent="0.3">
      <c r="A20">
        <v>18</v>
      </c>
      <c r="B20">
        <v>90</v>
      </c>
      <c r="C20" t="s">
        <v>26</v>
      </c>
      <c r="D20">
        <v>6.1233000000000004</v>
      </c>
      <c r="E20">
        <v>16.329999999999998</v>
      </c>
      <c r="F20">
        <v>13.16</v>
      </c>
      <c r="G20">
        <v>37.61</v>
      </c>
      <c r="H20">
        <v>0.53</v>
      </c>
      <c r="I20">
        <v>21</v>
      </c>
      <c r="J20">
        <v>183.44</v>
      </c>
      <c r="K20">
        <v>52.44</v>
      </c>
      <c r="L20">
        <v>5.5</v>
      </c>
      <c r="M20">
        <v>19</v>
      </c>
      <c r="N20">
        <v>35.5</v>
      </c>
      <c r="O20">
        <v>22858.66</v>
      </c>
      <c r="P20">
        <v>151.1</v>
      </c>
      <c r="Q20">
        <v>988.1</v>
      </c>
      <c r="R20">
        <v>50.55</v>
      </c>
      <c r="S20">
        <v>35.43</v>
      </c>
      <c r="T20">
        <v>6479.82</v>
      </c>
      <c r="U20">
        <v>0.7</v>
      </c>
      <c r="V20">
        <v>0.87</v>
      </c>
      <c r="W20">
        <v>3</v>
      </c>
      <c r="X20">
        <v>0.41</v>
      </c>
      <c r="Y20">
        <v>1</v>
      </c>
      <c r="Z20">
        <v>10</v>
      </c>
    </row>
    <row r="21" spans="1:26" x14ac:dyDescent="0.3">
      <c r="A21">
        <v>19</v>
      </c>
      <c r="B21">
        <v>90</v>
      </c>
      <c r="C21" t="s">
        <v>26</v>
      </c>
      <c r="D21">
        <v>6.1528999999999998</v>
      </c>
      <c r="E21">
        <v>16.25</v>
      </c>
      <c r="F21">
        <v>13.12</v>
      </c>
      <c r="G21">
        <v>39.36</v>
      </c>
      <c r="H21">
        <v>0.55000000000000004</v>
      </c>
      <c r="I21">
        <v>20</v>
      </c>
      <c r="J21">
        <v>183.82</v>
      </c>
      <c r="K21">
        <v>52.44</v>
      </c>
      <c r="L21">
        <v>5.75</v>
      </c>
      <c r="M21">
        <v>18</v>
      </c>
      <c r="N21">
        <v>35.630000000000003</v>
      </c>
      <c r="O21">
        <v>22905.03</v>
      </c>
      <c r="P21">
        <v>149.61000000000001</v>
      </c>
      <c r="Q21">
        <v>988.13</v>
      </c>
      <c r="R21">
        <v>49.22</v>
      </c>
      <c r="S21">
        <v>35.43</v>
      </c>
      <c r="T21">
        <v>5820.92</v>
      </c>
      <c r="U21">
        <v>0.72</v>
      </c>
      <c r="V21">
        <v>0.87</v>
      </c>
      <c r="W21">
        <v>2.99</v>
      </c>
      <c r="X21">
        <v>0.37</v>
      </c>
      <c r="Y21">
        <v>1</v>
      </c>
      <c r="Z21">
        <v>10</v>
      </c>
    </row>
    <row r="22" spans="1:26" x14ac:dyDescent="0.3">
      <c r="A22">
        <v>20</v>
      </c>
      <c r="B22">
        <v>90</v>
      </c>
      <c r="C22" t="s">
        <v>26</v>
      </c>
      <c r="D22">
        <v>6.1738</v>
      </c>
      <c r="E22">
        <v>16.2</v>
      </c>
      <c r="F22">
        <v>13.1</v>
      </c>
      <c r="G22">
        <v>41.37</v>
      </c>
      <c r="H22">
        <v>0.57999999999999996</v>
      </c>
      <c r="I22">
        <v>19</v>
      </c>
      <c r="J22">
        <v>184.19</v>
      </c>
      <c r="K22">
        <v>52.44</v>
      </c>
      <c r="L22">
        <v>6</v>
      </c>
      <c r="M22">
        <v>17</v>
      </c>
      <c r="N22">
        <v>35.75</v>
      </c>
      <c r="O22">
        <v>22951.43</v>
      </c>
      <c r="P22">
        <v>148.12</v>
      </c>
      <c r="Q22">
        <v>988.14</v>
      </c>
      <c r="R22">
        <v>48.61</v>
      </c>
      <c r="S22">
        <v>35.43</v>
      </c>
      <c r="T22">
        <v>5523.01</v>
      </c>
      <c r="U22">
        <v>0.73</v>
      </c>
      <c r="V22">
        <v>0.87</v>
      </c>
      <c r="W22">
        <v>2.99</v>
      </c>
      <c r="X22">
        <v>0.35</v>
      </c>
      <c r="Y22">
        <v>1</v>
      </c>
      <c r="Z22">
        <v>10</v>
      </c>
    </row>
    <row r="23" spans="1:26" x14ac:dyDescent="0.3">
      <c r="A23">
        <v>21</v>
      </c>
      <c r="B23">
        <v>90</v>
      </c>
      <c r="C23" t="s">
        <v>26</v>
      </c>
      <c r="D23">
        <v>6.1933999999999996</v>
      </c>
      <c r="E23">
        <v>16.149999999999999</v>
      </c>
      <c r="F23">
        <v>13.09</v>
      </c>
      <c r="G23">
        <v>43.62</v>
      </c>
      <c r="H23">
        <v>0.6</v>
      </c>
      <c r="I23">
        <v>18</v>
      </c>
      <c r="J23">
        <v>184.57</v>
      </c>
      <c r="K23">
        <v>52.44</v>
      </c>
      <c r="L23">
        <v>6.25</v>
      </c>
      <c r="M23">
        <v>16</v>
      </c>
      <c r="N23">
        <v>35.880000000000003</v>
      </c>
      <c r="O23">
        <v>22997.88</v>
      </c>
      <c r="P23">
        <v>146.80000000000001</v>
      </c>
      <c r="Q23">
        <v>988.09</v>
      </c>
      <c r="R23">
        <v>47.99</v>
      </c>
      <c r="S23">
        <v>35.43</v>
      </c>
      <c r="T23">
        <v>5217.53</v>
      </c>
      <c r="U23">
        <v>0.74</v>
      </c>
      <c r="V23">
        <v>0.87</v>
      </c>
      <c r="W23">
        <v>3</v>
      </c>
      <c r="X23">
        <v>0.33</v>
      </c>
      <c r="Y23">
        <v>1</v>
      </c>
      <c r="Z23">
        <v>10</v>
      </c>
    </row>
    <row r="24" spans="1:26" x14ac:dyDescent="0.3">
      <c r="A24">
        <v>22</v>
      </c>
      <c r="B24">
        <v>90</v>
      </c>
      <c r="C24" t="s">
        <v>26</v>
      </c>
      <c r="D24">
        <v>6.2126999999999999</v>
      </c>
      <c r="E24">
        <v>16.100000000000001</v>
      </c>
      <c r="F24">
        <v>13.07</v>
      </c>
      <c r="G24">
        <v>46.13</v>
      </c>
      <c r="H24">
        <v>0.62</v>
      </c>
      <c r="I24">
        <v>17</v>
      </c>
      <c r="J24">
        <v>184.95</v>
      </c>
      <c r="K24">
        <v>52.44</v>
      </c>
      <c r="L24">
        <v>6.5</v>
      </c>
      <c r="M24">
        <v>15</v>
      </c>
      <c r="N24">
        <v>36.01</v>
      </c>
      <c r="O24">
        <v>23044.38</v>
      </c>
      <c r="P24">
        <v>143.58000000000001</v>
      </c>
      <c r="Q24">
        <v>988.08</v>
      </c>
      <c r="R24">
        <v>47.63</v>
      </c>
      <c r="S24">
        <v>35.43</v>
      </c>
      <c r="T24">
        <v>5043.0600000000004</v>
      </c>
      <c r="U24">
        <v>0.74</v>
      </c>
      <c r="V24">
        <v>0.87</v>
      </c>
      <c r="W24">
        <v>2.99</v>
      </c>
      <c r="X24">
        <v>0.32</v>
      </c>
      <c r="Y24">
        <v>1</v>
      </c>
      <c r="Z24">
        <v>10</v>
      </c>
    </row>
    <row r="25" spans="1:26" x14ac:dyDescent="0.3">
      <c r="A25">
        <v>23</v>
      </c>
      <c r="B25">
        <v>90</v>
      </c>
      <c r="C25" t="s">
        <v>26</v>
      </c>
      <c r="D25">
        <v>6.2114000000000003</v>
      </c>
      <c r="E25">
        <v>16.100000000000001</v>
      </c>
      <c r="F25">
        <v>13.07</v>
      </c>
      <c r="G25">
        <v>46.15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15</v>
      </c>
      <c r="N25">
        <v>36.130000000000003</v>
      </c>
      <c r="O25">
        <v>23090.91</v>
      </c>
      <c r="P25">
        <v>142.87</v>
      </c>
      <c r="Q25">
        <v>988.17</v>
      </c>
      <c r="R25">
        <v>47.57</v>
      </c>
      <c r="S25">
        <v>35.43</v>
      </c>
      <c r="T25">
        <v>5013.3500000000004</v>
      </c>
      <c r="U25">
        <v>0.74</v>
      </c>
      <c r="V25">
        <v>0.87</v>
      </c>
      <c r="W25">
        <v>3</v>
      </c>
      <c r="X25">
        <v>0.32</v>
      </c>
      <c r="Y25">
        <v>1</v>
      </c>
      <c r="Z25">
        <v>10</v>
      </c>
    </row>
    <row r="26" spans="1:26" x14ac:dyDescent="0.3">
      <c r="A26">
        <v>24</v>
      </c>
      <c r="B26">
        <v>90</v>
      </c>
      <c r="C26" t="s">
        <v>26</v>
      </c>
      <c r="D26">
        <v>6.2343000000000002</v>
      </c>
      <c r="E26">
        <v>16.04</v>
      </c>
      <c r="F26">
        <v>13.05</v>
      </c>
      <c r="G26">
        <v>48.94</v>
      </c>
      <c r="H26">
        <v>0.67</v>
      </c>
      <c r="I26">
        <v>16</v>
      </c>
      <c r="J26">
        <v>185.7</v>
      </c>
      <c r="K26">
        <v>52.44</v>
      </c>
      <c r="L26">
        <v>7</v>
      </c>
      <c r="M26">
        <v>14</v>
      </c>
      <c r="N26">
        <v>36.26</v>
      </c>
      <c r="O26">
        <v>23137.49</v>
      </c>
      <c r="P26">
        <v>141.85</v>
      </c>
      <c r="Q26">
        <v>988.12</v>
      </c>
      <c r="R26">
        <v>46.98</v>
      </c>
      <c r="S26">
        <v>35.43</v>
      </c>
      <c r="T26">
        <v>4721.25</v>
      </c>
      <c r="U26">
        <v>0.75</v>
      </c>
      <c r="V26">
        <v>0.87</v>
      </c>
      <c r="W26">
        <v>2.99</v>
      </c>
      <c r="X26">
        <v>0.3</v>
      </c>
      <c r="Y26">
        <v>1</v>
      </c>
      <c r="Z26">
        <v>10</v>
      </c>
    </row>
    <row r="27" spans="1:26" x14ac:dyDescent="0.3">
      <c r="A27">
        <v>25</v>
      </c>
      <c r="B27">
        <v>90</v>
      </c>
      <c r="C27" t="s">
        <v>26</v>
      </c>
      <c r="D27">
        <v>6.2511999999999999</v>
      </c>
      <c r="E27">
        <v>16</v>
      </c>
      <c r="F27">
        <v>13.04</v>
      </c>
      <c r="G27">
        <v>52.17</v>
      </c>
      <c r="H27">
        <v>0.69</v>
      </c>
      <c r="I27">
        <v>15</v>
      </c>
      <c r="J27">
        <v>186.08</v>
      </c>
      <c r="K27">
        <v>52.44</v>
      </c>
      <c r="L27">
        <v>7.25</v>
      </c>
      <c r="M27">
        <v>13</v>
      </c>
      <c r="N27">
        <v>36.39</v>
      </c>
      <c r="O27">
        <v>23184.11</v>
      </c>
      <c r="P27">
        <v>140.35</v>
      </c>
      <c r="Q27">
        <v>988.08</v>
      </c>
      <c r="R27">
        <v>46.87</v>
      </c>
      <c r="S27">
        <v>35.43</v>
      </c>
      <c r="T27">
        <v>4672.21</v>
      </c>
      <c r="U27">
        <v>0.76</v>
      </c>
      <c r="V27">
        <v>0.87</v>
      </c>
      <c r="W27">
        <v>2.99</v>
      </c>
      <c r="X27">
        <v>0.28999999999999998</v>
      </c>
      <c r="Y27">
        <v>1</v>
      </c>
      <c r="Z27">
        <v>10</v>
      </c>
    </row>
    <row r="28" spans="1:26" x14ac:dyDescent="0.3">
      <c r="A28">
        <v>26</v>
      </c>
      <c r="B28">
        <v>90</v>
      </c>
      <c r="C28" t="s">
        <v>26</v>
      </c>
      <c r="D28">
        <v>6.2534999999999998</v>
      </c>
      <c r="E28">
        <v>15.99</v>
      </c>
      <c r="F28">
        <v>13.04</v>
      </c>
      <c r="G28">
        <v>52.15</v>
      </c>
      <c r="H28">
        <v>0.71</v>
      </c>
      <c r="I28">
        <v>15</v>
      </c>
      <c r="J28">
        <v>186.46</v>
      </c>
      <c r="K28">
        <v>52.44</v>
      </c>
      <c r="L28">
        <v>7.5</v>
      </c>
      <c r="M28">
        <v>13</v>
      </c>
      <c r="N28">
        <v>36.520000000000003</v>
      </c>
      <c r="O28">
        <v>23230.78</v>
      </c>
      <c r="P28">
        <v>139.03</v>
      </c>
      <c r="Q28">
        <v>988.08</v>
      </c>
      <c r="R28">
        <v>46.34</v>
      </c>
      <c r="S28">
        <v>35.43</v>
      </c>
      <c r="T28">
        <v>4405.24</v>
      </c>
      <c r="U28">
        <v>0.76</v>
      </c>
      <c r="V28">
        <v>0.87</v>
      </c>
      <c r="W28">
        <v>3</v>
      </c>
      <c r="X28">
        <v>0.28000000000000003</v>
      </c>
      <c r="Y28">
        <v>1</v>
      </c>
      <c r="Z28">
        <v>10</v>
      </c>
    </row>
    <row r="29" spans="1:26" x14ac:dyDescent="0.3">
      <c r="A29">
        <v>27</v>
      </c>
      <c r="B29">
        <v>90</v>
      </c>
      <c r="C29" t="s">
        <v>26</v>
      </c>
      <c r="D29">
        <v>6.2808999999999999</v>
      </c>
      <c r="E29">
        <v>15.92</v>
      </c>
      <c r="F29">
        <v>13</v>
      </c>
      <c r="G29">
        <v>55.73</v>
      </c>
      <c r="H29">
        <v>0.74</v>
      </c>
      <c r="I29">
        <v>14</v>
      </c>
      <c r="J29">
        <v>186.84</v>
      </c>
      <c r="K29">
        <v>52.44</v>
      </c>
      <c r="L29">
        <v>7.75</v>
      </c>
      <c r="M29">
        <v>12</v>
      </c>
      <c r="N29">
        <v>36.65</v>
      </c>
      <c r="O29">
        <v>23277.49</v>
      </c>
      <c r="P29">
        <v>137.32</v>
      </c>
      <c r="Q29">
        <v>988.08</v>
      </c>
      <c r="R29">
        <v>45.51</v>
      </c>
      <c r="S29">
        <v>35.43</v>
      </c>
      <c r="T29">
        <v>3996.01</v>
      </c>
      <c r="U29">
        <v>0.78</v>
      </c>
      <c r="V29">
        <v>0.88</v>
      </c>
      <c r="W29">
        <v>2.99</v>
      </c>
      <c r="X29">
        <v>0.25</v>
      </c>
      <c r="Y29">
        <v>1</v>
      </c>
      <c r="Z29">
        <v>10</v>
      </c>
    </row>
    <row r="30" spans="1:26" x14ac:dyDescent="0.3">
      <c r="A30">
        <v>28</v>
      </c>
      <c r="B30">
        <v>90</v>
      </c>
      <c r="C30" t="s">
        <v>26</v>
      </c>
      <c r="D30">
        <v>6.2804000000000002</v>
      </c>
      <c r="E30">
        <v>15.92</v>
      </c>
      <c r="F30">
        <v>13</v>
      </c>
      <c r="G30">
        <v>55.73</v>
      </c>
      <c r="H30">
        <v>0.76</v>
      </c>
      <c r="I30">
        <v>14</v>
      </c>
      <c r="J30">
        <v>187.22</v>
      </c>
      <c r="K30">
        <v>52.44</v>
      </c>
      <c r="L30">
        <v>8</v>
      </c>
      <c r="M30">
        <v>11</v>
      </c>
      <c r="N30">
        <v>36.78</v>
      </c>
      <c r="O30">
        <v>23324.240000000002</v>
      </c>
      <c r="P30">
        <v>134.59</v>
      </c>
      <c r="Q30">
        <v>988.13</v>
      </c>
      <c r="R30">
        <v>45.37</v>
      </c>
      <c r="S30">
        <v>35.43</v>
      </c>
      <c r="T30">
        <v>3926.39</v>
      </c>
      <c r="U30">
        <v>0.78</v>
      </c>
      <c r="V30">
        <v>0.88</v>
      </c>
      <c r="W30">
        <v>2.99</v>
      </c>
      <c r="X30">
        <v>0.25</v>
      </c>
      <c r="Y30">
        <v>1</v>
      </c>
      <c r="Z30">
        <v>10</v>
      </c>
    </row>
    <row r="31" spans="1:26" x14ac:dyDescent="0.3">
      <c r="A31">
        <v>29</v>
      </c>
      <c r="B31">
        <v>90</v>
      </c>
      <c r="C31" t="s">
        <v>26</v>
      </c>
      <c r="D31">
        <v>6.2957000000000001</v>
      </c>
      <c r="E31">
        <v>15.88</v>
      </c>
      <c r="F31">
        <v>13</v>
      </c>
      <c r="G31">
        <v>60.01</v>
      </c>
      <c r="H31">
        <v>0.78</v>
      </c>
      <c r="I31">
        <v>13</v>
      </c>
      <c r="J31">
        <v>187.6</v>
      </c>
      <c r="K31">
        <v>52.44</v>
      </c>
      <c r="L31">
        <v>8.25</v>
      </c>
      <c r="M31">
        <v>8</v>
      </c>
      <c r="N31">
        <v>36.9</v>
      </c>
      <c r="O31">
        <v>23371.040000000001</v>
      </c>
      <c r="P31">
        <v>134.32</v>
      </c>
      <c r="Q31">
        <v>988.08</v>
      </c>
      <c r="R31">
        <v>45.4</v>
      </c>
      <c r="S31">
        <v>35.43</v>
      </c>
      <c r="T31">
        <v>3944.88</v>
      </c>
      <c r="U31">
        <v>0.78</v>
      </c>
      <c r="V31">
        <v>0.88</v>
      </c>
      <c r="W31">
        <v>2.99</v>
      </c>
      <c r="X31">
        <v>0.25</v>
      </c>
      <c r="Y31">
        <v>1</v>
      </c>
      <c r="Z31">
        <v>10</v>
      </c>
    </row>
    <row r="32" spans="1:26" x14ac:dyDescent="0.3">
      <c r="A32">
        <v>30</v>
      </c>
      <c r="B32">
        <v>90</v>
      </c>
      <c r="C32" t="s">
        <v>26</v>
      </c>
      <c r="D32">
        <v>6.2971000000000004</v>
      </c>
      <c r="E32">
        <v>15.88</v>
      </c>
      <c r="F32">
        <v>13</v>
      </c>
      <c r="G32">
        <v>59.99</v>
      </c>
      <c r="H32">
        <v>0.8</v>
      </c>
      <c r="I32">
        <v>13</v>
      </c>
      <c r="J32">
        <v>187.98</v>
      </c>
      <c r="K32">
        <v>52.44</v>
      </c>
      <c r="L32">
        <v>8.5</v>
      </c>
      <c r="M32">
        <v>6</v>
      </c>
      <c r="N32">
        <v>37.03</v>
      </c>
      <c r="O32">
        <v>23417.88</v>
      </c>
      <c r="P32">
        <v>133.71</v>
      </c>
      <c r="Q32">
        <v>988.09</v>
      </c>
      <c r="R32">
        <v>45.3</v>
      </c>
      <c r="S32">
        <v>35.43</v>
      </c>
      <c r="T32">
        <v>3894.2</v>
      </c>
      <c r="U32">
        <v>0.78</v>
      </c>
      <c r="V32">
        <v>0.88</v>
      </c>
      <c r="W32">
        <v>2.99</v>
      </c>
      <c r="X32">
        <v>0.24</v>
      </c>
      <c r="Y32">
        <v>1</v>
      </c>
      <c r="Z32">
        <v>10</v>
      </c>
    </row>
    <row r="33" spans="1:26" x14ac:dyDescent="0.3">
      <c r="A33">
        <v>31</v>
      </c>
      <c r="B33">
        <v>90</v>
      </c>
      <c r="C33" t="s">
        <v>26</v>
      </c>
      <c r="D33">
        <v>6.2968999999999999</v>
      </c>
      <c r="E33">
        <v>15.88</v>
      </c>
      <c r="F33">
        <v>13</v>
      </c>
      <c r="G33">
        <v>59.99</v>
      </c>
      <c r="H33">
        <v>0.82</v>
      </c>
      <c r="I33">
        <v>13</v>
      </c>
      <c r="J33">
        <v>188.36</v>
      </c>
      <c r="K33">
        <v>52.44</v>
      </c>
      <c r="L33">
        <v>8.75</v>
      </c>
      <c r="M33">
        <v>3</v>
      </c>
      <c r="N33">
        <v>37.159999999999997</v>
      </c>
      <c r="O33">
        <v>23464.76</v>
      </c>
      <c r="P33">
        <v>133</v>
      </c>
      <c r="Q33">
        <v>988.08</v>
      </c>
      <c r="R33">
        <v>45.23</v>
      </c>
      <c r="S33">
        <v>35.43</v>
      </c>
      <c r="T33">
        <v>3863.42</v>
      </c>
      <c r="U33">
        <v>0.78</v>
      </c>
      <c r="V33">
        <v>0.88</v>
      </c>
      <c r="W33">
        <v>2.99</v>
      </c>
      <c r="X33">
        <v>0.24</v>
      </c>
      <c r="Y33">
        <v>1</v>
      </c>
      <c r="Z33">
        <v>10</v>
      </c>
    </row>
    <row r="34" spans="1:26" x14ac:dyDescent="0.3">
      <c r="A34">
        <v>32</v>
      </c>
      <c r="B34">
        <v>90</v>
      </c>
      <c r="C34" t="s">
        <v>26</v>
      </c>
      <c r="D34">
        <v>6.2980999999999998</v>
      </c>
      <c r="E34">
        <v>15.88</v>
      </c>
      <c r="F34">
        <v>12.99</v>
      </c>
      <c r="G34">
        <v>59.98</v>
      </c>
      <c r="H34">
        <v>0.85</v>
      </c>
      <c r="I34">
        <v>13</v>
      </c>
      <c r="J34">
        <v>188.74</v>
      </c>
      <c r="K34">
        <v>52.44</v>
      </c>
      <c r="L34">
        <v>9</v>
      </c>
      <c r="M34">
        <v>2</v>
      </c>
      <c r="N34">
        <v>37.299999999999997</v>
      </c>
      <c r="O34">
        <v>23511.69</v>
      </c>
      <c r="P34">
        <v>132.38999999999999</v>
      </c>
      <c r="Q34">
        <v>988.08</v>
      </c>
      <c r="R34">
        <v>45.02</v>
      </c>
      <c r="S34">
        <v>35.43</v>
      </c>
      <c r="T34">
        <v>3757.26</v>
      </c>
      <c r="U34">
        <v>0.79</v>
      </c>
      <c r="V34">
        <v>0.88</v>
      </c>
      <c r="W34">
        <v>2.99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90</v>
      </c>
      <c r="C35" t="s">
        <v>26</v>
      </c>
      <c r="D35">
        <v>6.2977999999999996</v>
      </c>
      <c r="E35">
        <v>15.88</v>
      </c>
      <c r="F35">
        <v>13</v>
      </c>
      <c r="G35">
        <v>59.98</v>
      </c>
      <c r="H35">
        <v>0.87</v>
      </c>
      <c r="I35">
        <v>13</v>
      </c>
      <c r="J35">
        <v>189.12</v>
      </c>
      <c r="K35">
        <v>52.44</v>
      </c>
      <c r="L35">
        <v>9.25</v>
      </c>
      <c r="M35">
        <v>1</v>
      </c>
      <c r="N35">
        <v>37.43</v>
      </c>
      <c r="O35">
        <v>23558.67</v>
      </c>
      <c r="P35">
        <v>132.28</v>
      </c>
      <c r="Q35">
        <v>988.08</v>
      </c>
      <c r="R35">
        <v>44.98</v>
      </c>
      <c r="S35">
        <v>35.43</v>
      </c>
      <c r="T35">
        <v>3735.17</v>
      </c>
      <c r="U35">
        <v>0.79</v>
      </c>
      <c r="V35">
        <v>0.88</v>
      </c>
      <c r="W35">
        <v>2.99</v>
      </c>
      <c r="X35">
        <v>0.24</v>
      </c>
      <c r="Y35">
        <v>1</v>
      </c>
      <c r="Z35">
        <v>10</v>
      </c>
    </row>
    <row r="36" spans="1:26" x14ac:dyDescent="0.3">
      <c r="A36">
        <v>34</v>
      </c>
      <c r="B36">
        <v>90</v>
      </c>
      <c r="C36" t="s">
        <v>26</v>
      </c>
      <c r="D36">
        <v>6.3197000000000001</v>
      </c>
      <c r="E36">
        <v>15.82</v>
      </c>
      <c r="F36">
        <v>12.98</v>
      </c>
      <c r="G36">
        <v>64.88</v>
      </c>
      <c r="H36">
        <v>0.89</v>
      </c>
      <c r="I36">
        <v>12</v>
      </c>
      <c r="J36">
        <v>189.5</v>
      </c>
      <c r="K36">
        <v>52.44</v>
      </c>
      <c r="L36">
        <v>9.5</v>
      </c>
      <c r="M36">
        <v>0</v>
      </c>
      <c r="N36">
        <v>37.56</v>
      </c>
      <c r="O36">
        <v>23605.68</v>
      </c>
      <c r="P36">
        <v>132.05000000000001</v>
      </c>
      <c r="Q36">
        <v>988.08</v>
      </c>
      <c r="R36">
        <v>44.36</v>
      </c>
      <c r="S36">
        <v>35.43</v>
      </c>
      <c r="T36">
        <v>3431.86</v>
      </c>
      <c r="U36">
        <v>0.8</v>
      </c>
      <c r="V36">
        <v>0.88</v>
      </c>
      <c r="W36">
        <v>2.99</v>
      </c>
      <c r="X36">
        <v>0.22</v>
      </c>
      <c r="Y36">
        <v>1</v>
      </c>
      <c r="Z3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ilha9"/>
  <dimension ref="A1:Z4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110</v>
      </c>
      <c r="C2" t="s">
        <v>26</v>
      </c>
      <c r="D2">
        <v>3.8136000000000001</v>
      </c>
      <c r="E2">
        <v>26.22</v>
      </c>
      <c r="F2">
        <v>16.3</v>
      </c>
      <c r="G2">
        <v>5.65</v>
      </c>
      <c r="H2">
        <v>0.08</v>
      </c>
      <c r="I2">
        <v>173</v>
      </c>
      <c r="J2">
        <v>213.37</v>
      </c>
      <c r="K2">
        <v>56.13</v>
      </c>
      <c r="L2">
        <v>1</v>
      </c>
      <c r="M2">
        <v>171</v>
      </c>
      <c r="N2">
        <v>46.25</v>
      </c>
      <c r="O2">
        <v>26550.29</v>
      </c>
      <c r="P2">
        <v>240.23</v>
      </c>
      <c r="Q2">
        <v>988.97</v>
      </c>
      <c r="R2">
        <v>148.02000000000001</v>
      </c>
      <c r="S2">
        <v>35.43</v>
      </c>
      <c r="T2">
        <v>54458.58</v>
      </c>
      <c r="U2">
        <v>0.24</v>
      </c>
      <c r="V2">
        <v>0.7</v>
      </c>
      <c r="W2">
        <v>3.25</v>
      </c>
      <c r="X2">
        <v>3.54</v>
      </c>
      <c r="Y2">
        <v>1</v>
      </c>
      <c r="Z2">
        <v>10</v>
      </c>
    </row>
    <row r="3" spans="1:26" x14ac:dyDescent="0.3">
      <c r="A3">
        <v>1</v>
      </c>
      <c r="B3">
        <v>110</v>
      </c>
      <c r="C3" t="s">
        <v>26</v>
      </c>
      <c r="D3">
        <v>4.2457000000000003</v>
      </c>
      <c r="E3">
        <v>23.55</v>
      </c>
      <c r="F3">
        <v>15.41</v>
      </c>
      <c r="G3">
        <v>7.06</v>
      </c>
      <c r="H3">
        <v>0.1</v>
      </c>
      <c r="I3">
        <v>131</v>
      </c>
      <c r="J3">
        <v>213.78</v>
      </c>
      <c r="K3">
        <v>56.13</v>
      </c>
      <c r="L3">
        <v>1.25</v>
      </c>
      <c r="M3">
        <v>129</v>
      </c>
      <c r="N3">
        <v>46.4</v>
      </c>
      <c r="O3">
        <v>26600.32</v>
      </c>
      <c r="P3">
        <v>226.16</v>
      </c>
      <c r="Q3">
        <v>988.4</v>
      </c>
      <c r="R3">
        <v>120.28</v>
      </c>
      <c r="S3">
        <v>35.43</v>
      </c>
      <c r="T3">
        <v>40793.699999999997</v>
      </c>
      <c r="U3">
        <v>0.28999999999999998</v>
      </c>
      <c r="V3">
        <v>0.74</v>
      </c>
      <c r="W3">
        <v>3.18</v>
      </c>
      <c r="X3">
        <v>2.65</v>
      </c>
      <c r="Y3">
        <v>1</v>
      </c>
      <c r="Z3">
        <v>10</v>
      </c>
    </row>
    <row r="4" spans="1:26" x14ac:dyDescent="0.3">
      <c r="A4">
        <v>2</v>
      </c>
      <c r="B4">
        <v>110</v>
      </c>
      <c r="C4" t="s">
        <v>26</v>
      </c>
      <c r="D4">
        <v>4.5681000000000003</v>
      </c>
      <c r="E4">
        <v>21.89</v>
      </c>
      <c r="F4">
        <v>14.84</v>
      </c>
      <c r="G4">
        <v>8.48</v>
      </c>
      <c r="H4">
        <v>0.12</v>
      </c>
      <c r="I4">
        <v>105</v>
      </c>
      <c r="J4">
        <v>214.19</v>
      </c>
      <c r="K4">
        <v>56.13</v>
      </c>
      <c r="L4">
        <v>1.5</v>
      </c>
      <c r="M4">
        <v>103</v>
      </c>
      <c r="N4">
        <v>46.56</v>
      </c>
      <c r="O4">
        <v>26650.41</v>
      </c>
      <c r="P4">
        <v>217.05</v>
      </c>
      <c r="Q4">
        <v>988.35</v>
      </c>
      <c r="R4">
        <v>102.59</v>
      </c>
      <c r="S4">
        <v>35.43</v>
      </c>
      <c r="T4">
        <v>32080.25</v>
      </c>
      <c r="U4">
        <v>0.35</v>
      </c>
      <c r="V4">
        <v>0.77</v>
      </c>
      <c r="W4">
        <v>3.14</v>
      </c>
      <c r="X4">
        <v>2.09</v>
      </c>
      <c r="Y4">
        <v>1</v>
      </c>
      <c r="Z4">
        <v>10</v>
      </c>
    </row>
    <row r="5" spans="1:26" x14ac:dyDescent="0.3">
      <c r="A5">
        <v>3</v>
      </c>
      <c r="B5">
        <v>110</v>
      </c>
      <c r="C5" t="s">
        <v>26</v>
      </c>
      <c r="D5">
        <v>4.7964000000000002</v>
      </c>
      <c r="E5">
        <v>20.85</v>
      </c>
      <c r="F5">
        <v>14.52</v>
      </c>
      <c r="G5">
        <v>9.9</v>
      </c>
      <c r="H5">
        <v>0.14000000000000001</v>
      </c>
      <c r="I5">
        <v>88</v>
      </c>
      <c r="J5">
        <v>214.59</v>
      </c>
      <c r="K5">
        <v>56.13</v>
      </c>
      <c r="L5">
        <v>1.75</v>
      </c>
      <c r="M5">
        <v>86</v>
      </c>
      <c r="N5">
        <v>46.72</v>
      </c>
      <c r="O5">
        <v>26700.55</v>
      </c>
      <c r="P5">
        <v>211.33</v>
      </c>
      <c r="Q5">
        <v>988.42</v>
      </c>
      <c r="R5">
        <v>92.34</v>
      </c>
      <c r="S5">
        <v>35.43</v>
      </c>
      <c r="T5">
        <v>27042.53</v>
      </c>
      <c r="U5">
        <v>0.38</v>
      </c>
      <c r="V5">
        <v>0.79</v>
      </c>
      <c r="W5">
        <v>3.12</v>
      </c>
      <c r="X5">
        <v>1.76</v>
      </c>
      <c r="Y5">
        <v>1</v>
      </c>
      <c r="Z5">
        <v>10</v>
      </c>
    </row>
    <row r="6" spans="1:26" x14ac:dyDescent="0.3">
      <c r="A6">
        <v>4</v>
      </c>
      <c r="B6">
        <v>110</v>
      </c>
      <c r="C6" t="s">
        <v>26</v>
      </c>
      <c r="D6">
        <v>4.9915000000000003</v>
      </c>
      <c r="E6">
        <v>20.03</v>
      </c>
      <c r="F6">
        <v>14.25</v>
      </c>
      <c r="G6">
        <v>11.4</v>
      </c>
      <c r="H6">
        <v>0.17</v>
      </c>
      <c r="I6">
        <v>75</v>
      </c>
      <c r="J6">
        <v>215</v>
      </c>
      <c r="K6">
        <v>56.13</v>
      </c>
      <c r="L6">
        <v>2</v>
      </c>
      <c r="M6">
        <v>73</v>
      </c>
      <c r="N6">
        <v>46.87</v>
      </c>
      <c r="O6">
        <v>26750.75</v>
      </c>
      <c r="P6">
        <v>206.7</v>
      </c>
      <c r="Q6">
        <v>988.34</v>
      </c>
      <c r="R6">
        <v>84.14</v>
      </c>
      <c r="S6">
        <v>35.43</v>
      </c>
      <c r="T6">
        <v>23005.47</v>
      </c>
      <c r="U6">
        <v>0.42</v>
      </c>
      <c r="V6">
        <v>0.8</v>
      </c>
      <c r="W6">
        <v>3.09</v>
      </c>
      <c r="X6">
        <v>1.5</v>
      </c>
      <c r="Y6">
        <v>1</v>
      </c>
      <c r="Z6">
        <v>10</v>
      </c>
    </row>
    <row r="7" spans="1:26" x14ac:dyDescent="0.3">
      <c r="A7">
        <v>5</v>
      </c>
      <c r="B7">
        <v>110</v>
      </c>
      <c r="C7" t="s">
        <v>26</v>
      </c>
      <c r="D7">
        <v>5.1340000000000003</v>
      </c>
      <c r="E7">
        <v>19.48</v>
      </c>
      <c r="F7">
        <v>14.08</v>
      </c>
      <c r="G7">
        <v>12.8</v>
      </c>
      <c r="H7">
        <v>0.19</v>
      </c>
      <c r="I7">
        <v>66</v>
      </c>
      <c r="J7">
        <v>215.41</v>
      </c>
      <c r="K7">
        <v>56.13</v>
      </c>
      <c r="L7">
        <v>2.25</v>
      </c>
      <c r="M7">
        <v>64</v>
      </c>
      <c r="N7">
        <v>47.03</v>
      </c>
      <c r="O7">
        <v>26801</v>
      </c>
      <c r="P7">
        <v>203.04</v>
      </c>
      <c r="Q7">
        <v>988.39</v>
      </c>
      <c r="R7">
        <v>78.61</v>
      </c>
      <c r="S7">
        <v>35.43</v>
      </c>
      <c r="T7">
        <v>20284.900000000001</v>
      </c>
      <c r="U7">
        <v>0.45</v>
      </c>
      <c r="V7">
        <v>0.81</v>
      </c>
      <c r="W7">
        <v>3.08</v>
      </c>
      <c r="X7">
        <v>1.32</v>
      </c>
      <c r="Y7">
        <v>1</v>
      </c>
      <c r="Z7">
        <v>10</v>
      </c>
    </row>
    <row r="8" spans="1:26" x14ac:dyDescent="0.3">
      <c r="A8">
        <v>6</v>
      </c>
      <c r="B8">
        <v>110</v>
      </c>
      <c r="C8" t="s">
        <v>26</v>
      </c>
      <c r="D8">
        <v>5.2584</v>
      </c>
      <c r="E8">
        <v>19.02</v>
      </c>
      <c r="F8">
        <v>13.91</v>
      </c>
      <c r="G8">
        <v>14.15</v>
      </c>
      <c r="H8">
        <v>0.21</v>
      </c>
      <c r="I8">
        <v>59</v>
      </c>
      <c r="J8">
        <v>215.82</v>
      </c>
      <c r="K8">
        <v>56.13</v>
      </c>
      <c r="L8">
        <v>2.5</v>
      </c>
      <c r="M8">
        <v>57</v>
      </c>
      <c r="N8">
        <v>47.19</v>
      </c>
      <c r="O8">
        <v>26851.31</v>
      </c>
      <c r="P8">
        <v>199.88</v>
      </c>
      <c r="Q8">
        <v>988.25</v>
      </c>
      <c r="R8">
        <v>73.69</v>
      </c>
      <c r="S8">
        <v>35.43</v>
      </c>
      <c r="T8">
        <v>17859.72</v>
      </c>
      <c r="U8">
        <v>0.48</v>
      </c>
      <c r="V8">
        <v>0.82</v>
      </c>
      <c r="W8">
        <v>3.06</v>
      </c>
      <c r="X8">
        <v>1.1599999999999999</v>
      </c>
      <c r="Y8">
        <v>1</v>
      </c>
      <c r="Z8">
        <v>10</v>
      </c>
    </row>
    <row r="9" spans="1:26" x14ac:dyDescent="0.3">
      <c r="A9">
        <v>7</v>
      </c>
      <c r="B9">
        <v>110</v>
      </c>
      <c r="C9" t="s">
        <v>26</v>
      </c>
      <c r="D9">
        <v>5.3586999999999998</v>
      </c>
      <c r="E9">
        <v>18.66</v>
      </c>
      <c r="F9">
        <v>13.81</v>
      </c>
      <c r="G9">
        <v>15.63</v>
      </c>
      <c r="H9">
        <v>0.23</v>
      </c>
      <c r="I9">
        <v>53</v>
      </c>
      <c r="J9">
        <v>216.22</v>
      </c>
      <c r="K9">
        <v>56.13</v>
      </c>
      <c r="L9">
        <v>2.75</v>
      </c>
      <c r="M9">
        <v>51</v>
      </c>
      <c r="N9">
        <v>47.35</v>
      </c>
      <c r="O9">
        <v>26901.66</v>
      </c>
      <c r="P9">
        <v>197.6</v>
      </c>
      <c r="Q9">
        <v>988.13</v>
      </c>
      <c r="R9">
        <v>70.36</v>
      </c>
      <c r="S9">
        <v>35.43</v>
      </c>
      <c r="T9">
        <v>16223.74</v>
      </c>
      <c r="U9">
        <v>0.5</v>
      </c>
      <c r="V9">
        <v>0.83</v>
      </c>
      <c r="W9">
        <v>3.06</v>
      </c>
      <c r="X9">
        <v>1.06</v>
      </c>
      <c r="Y9">
        <v>1</v>
      </c>
      <c r="Z9">
        <v>10</v>
      </c>
    </row>
    <row r="10" spans="1:26" x14ac:dyDescent="0.3">
      <c r="A10">
        <v>8</v>
      </c>
      <c r="B10">
        <v>110</v>
      </c>
      <c r="C10" t="s">
        <v>26</v>
      </c>
      <c r="D10">
        <v>5.4538000000000002</v>
      </c>
      <c r="E10">
        <v>18.34</v>
      </c>
      <c r="F10">
        <v>13.7</v>
      </c>
      <c r="G10">
        <v>17.12</v>
      </c>
      <c r="H10">
        <v>0.25</v>
      </c>
      <c r="I10">
        <v>48</v>
      </c>
      <c r="J10">
        <v>216.63</v>
      </c>
      <c r="K10">
        <v>56.13</v>
      </c>
      <c r="L10">
        <v>3</v>
      </c>
      <c r="M10">
        <v>46</v>
      </c>
      <c r="N10">
        <v>47.51</v>
      </c>
      <c r="O10">
        <v>26952.080000000002</v>
      </c>
      <c r="P10">
        <v>195.05</v>
      </c>
      <c r="Q10">
        <v>988.39</v>
      </c>
      <c r="R10">
        <v>67.11</v>
      </c>
      <c r="S10">
        <v>35.43</v>
      </c>
      <c r="T10">
        <v>14623.71</v>
      </c>
      <c r="U10">
        <v>0.53</v>
      </c>
      <c r="V10">
        <v>0.83</v>
      </c>
      <c r="W10">
        <v>3.04</v>
      </c>
      <c r="X10">
        <v>0.94</v>
      </c>
      <c r="Y10">
        <v>1</v>
      </c>
      <c r="Z10">
        <v>10</v>
      </c>
    </row>
    <row r="11" spans="1:26" x14ac:dyDescent="0.3">
      <c r="A11">
        <v>9</v>
      </c>
      <c r="B11">
        <v>110</v>
      </c>
      <c r="C11" t="s">
        <v>26</v>
      </c>
      <c r="D11">
        <v>5.5259</v>
      </c>
      <c r="E11">
        <v>18.100000000000001</v>
      </c>
      <c r="F11">
        <v>13.63</v>
      </c>
      <c r="G11">
        <v>18.579999999999998</v>
      </c>
      <c r="H11">
        <v>0.27</v>
      </c>
      <c r="I11">
        <v>44</v>
      </c>
      <c r="J11">
        <v>217.04</v>
      </c>
      <c r="K11">
        <v>56.13</v>
      </c>
      <c r="L11">
        <v>3.25</v>
      </c>
      <c r="M11">
        <v>42</v>
      </c>
      <c r="N11">
        <v>47.66</v>
      </c>
      <c r="O11">
        <v>27002.55</v>
      </c>
      <c r="P11">
        <v>193.3</v>
      </c>
      <c r="Q11">
        <v>988.15</v>
      </c>
      <c r="R11">
        <v>64.94</v>
      </c>
      <c r="S11">
        <v>35.43</v>
      </c>
      <c r="T11">
        <v>13562.99</v>
      </c>
      <c r="U11">
        <v>0.55000000000000004</v>
      </c>
      <c r="V11">
        <v>0.84</v>
      </c>
      <c r="W11">
        <v>3.03</v>
      </c>
      <c r="X11">
        <v>0.87</v>
      </c>
      <c r="Y11">
        <v>1</v>
      </c>
      <c r="Z11">
        <v>10</v>
      </c>
    </row>
    <row r="12" spans="1:26" x14ac:dyDescent="0.3">
      <c r="A12">
        <v>10</v>
      </c>
      <c r="B12">
        <v>110</v>
      </c>
      <c r="C12" t="s">
        <v>26</v>
      </c>
      <c r="D12">
        <v>5.5888</v>
      </c>
      <c r="E12">
        <v>17.89</v>
      </c>
      <c r="F12">
        <v>13.55</v>
      </c>
      <c r="G12">
        <v>19.829999999999998</v>
      </c>
      <c r="H12">
        <v>0.28999999999999998</v>
      </c>
      <c r="I12">
        <v>41</v>
      </c>
      <c r="J12">
        <v>217.45</v>
      </c>
      <c r="K12">
        <v>56.13</v>
      </c>
      <c r="L12">
        <v>3.5</v>
      </c>
      <c r="M12">
        <v>39</v>
      </c>
      <c r="N12">
        <v>47.82</v>
      </c>
      <c r="O12">
        <v>27053.07</v>
      </c>
      <c r="P12">
        <v>191.35</v>
      </c>
      <c r="Q12">
        <v>988.18</v>
      </c>
      <c r="R12">
        <v>62.59</v>
      </c>
      <c r="S12">
        <v>35.43</v>
      </c>
      <c r="T12">
        <v>12401.69</v>
      </c>
      <c r="U12">
        <v>0.56999999999999995</v>
      </c>
      <c r="V12">
        <v>0.84</v>
      </c>
      <c r="W12">
        <v>3.03</v>
      </c>
      <c r="X12">
        <v>0.79</v>
      </c>
      <c r="Y12">
        <v>1</v>
      </c>
      <c r="Z12">
        <v>10</v>
      </c>
    </row>
    <row r="13" spans="1:26" x14ac:dyDescent="0.3">
      <c r="A13">
        <v>11</v>
      </c>
      <c r="B13">
        <v>110</v>
      </c>
      <c r="C13" t="s">
        <v>26</v>
      </c>
      <c r="D13">
        <v>5.6471999999999998</v>
      </c>
      <c r="E13">
        <v>17.71</v>
      </c>
      <c r="F13">
        <v>13.49</v>
      </c>
      <c r="G13">
        <v>21.3</v>
      </c>
      <c r="H13">
        <v>0.31</v>
      </c>
      <c r="I13">
        <v>38</v>
      </c>
      <c r="J13">
        <v>217.86</v>
      </c>
      <c r="K13">
        <v>56.13</v>
      </c>
      <c r="L13">
        <v>3.75</v>
      </c>
      <c r="M13">
        <v>36</v>
      </c>
      <c r="N13">
        <v>47.98</v>
      </c>
      <c r="O13">
        <v>27103.65</v>
      </c>
      <c r="P13">
        <v>189.45</v>
      </c>
      <c r="Q13">
        <v>988.28</v>
      </c>
      <c r="R13">
        <v>60.64</v>
      </c>
      <c r="S13">
        <v>35.43</v>
      </c>
      <c r="T13">
        <v>11439.54</v>
      </c>
      <c r="U13">
        <v>0.57999999999999996</v>
      </c>
      <c r="V13">
        <v>0.84</v>
      </c>
      <c r="W13">
        <v>3.02</v>
      </c>
      <c r="X13">
        <v>0.74</v>
      </c>
      <c r="Y13">
        <v>1</v>
      </c>
      <c r="Z13">
        <v>10</v>
      </c>
    </row>
    <row r="14" spans="1:26" x14ac:dyDescent="0.3">
      <c r="A14">
        <v>12</v>
      </c>
      <c r="B14">
        <v>110</v>
      </c>
      <c r="C14" t="s">
        <v>26</v>
      </c>
      <c r="D14">
        <v>5.7077</v>
      </c>
      <c r="E14">
        <v>17.52</v>
      </c>
      <c r="F14">
        <v>13.43</v>
      </c>
      <c r="G14">
        <v>23.02</v>
      </c>
      <c r="H14">
        <v>0.33</v>
      </c>
      <c r="I14">
        <v>35</v>
      </c>
      <c r="J14">
        <v>218.27</v>
      </c>
      <c r="K14">
        <v>56.13</v>
      </c>
      <c r="L14">
        <v>4</v>
      </c>
      <c r="M14">
        <v>33</v>
      </c>
      <c r="N14">
        <v>48.15</v>
      </c>
      <c r="O14">
        <v>27154.29</v>
      </c>
      <c r="P14">
        <v>187.87</v>
      </c>
      <c r="Q14">
        <v>988.18</v>
      </c>
      <c r="R14">
        <v>58.79</v>
      </c>
      <c r="S14">
        <v>35.43</v>
      </c>
      <c r="T14">
        <v>10528.81</v>
      </c>
      <c r="U14">
        <v>0.6</v>
      </c>
      <c r="V14">
        <v>0.85</v>
      </c>
      <c r="W14">
        <v>3.02</v>
      </c>
      <c r="X14">
        <v>0.68</v>
      </c>
      <c r="Y14">
        <v>1</v>
      </c>
      <c r="Z14">
        <v>10</v>
      </c>
    </row>
    <row r="15" spans="1:26" x14ac:dyDescent="0.3">
      <c r="A15">
        <v>13</v>
      </c>
      <c r="B15">
        <v>110</v>
      </c>
      <c r="C15" t="s">
        <v>26</v>
      </c>
      <c r="D15">
        <v>5.7491000000000003</v>
      </c>
      <c r="E15">
        <v>17.39</v>
      </c>
      <c r="F15">
        <v>13.39</v>
      </c>
      <c r="G15">
        <v>24.34</v>
      </c>
      <c r="H15">
        <v>0.35</v>
      </c>
      <c r="I15">
        <v>33</v>
      </c>
      <c r="J15">
        <v>218.68</v>
      </c>
      <c r="K15">
        <v>56.13</v>
      </c>
      <c r="L15">
        <v>4.25</v>
      </c>
      <c r="M15">
        <v>31</v>
      </c>
      <c r="N15">
        <v>48.31</v>
      </c>
      <c r="O15">
        <v>27204.98</v>
      </c>
      <c r="P15">
        <v>186.24</v>
      </c>
      <c r="Q15">
        <v>988.16</v>
      </c>
      <c r="R15">
        <v>57.47</v>
      </c>
      <c r="S15">
        <v>35.43</v>
      </c>
      <c r="T15">
        <v>9879.1200000000008</v>
      </c>
      <c r="U15">
        <v>0.62</v>
      </c>
      <c r="V15">
        <v>0.85</v>
      </c>
      <c r="W15">
        <v>3.02</v>
      </c>
      <c r="X15">
        <v>0.63</v>
      </c>
      <c r="Y15">
        <v>1</v>
      </c>
      <c r="Z15">
        <v>10</v>
      </c>
    </row>
    <row r="16" spans="1:26" x14ac:dyDescent="0.3">
      <c r="A16">
        <v>14</v>
      </c>
      <c r="B16">
        <v>110</v>
      </c>
      <c r="C16" t="s">
        <v>26</v>
      </c>
      <c r="D16">
        <v>5.7828999999999997</v>
      </c>
      <c r="E16">
        <v>17.29</v>
      </c>
      <c r="F16">
        <v>13.37</v>
      </c>
      <c r="G16">
        <v>25.88</v>
      </c>
      <c r="H16">
        <v>0.36</v>
      </c>
      <c r="I16">
        <v>31</v>
      </c>
      <c r="J16">
        <v>219.09</v>
      </c>
      <c r="K16">
        <v>56.13</v>
      </c>
      <c r="L16">
        <v>4.5</v>
      </c>
      <c r="M16">
        <v>29</v>
      </c>
      <c r="N16">
        <v>48.47</v>
      </c>
      <c r="O16">
        <v>27255.72</v>
      </c>
      <c r="P16">
        <v>185.28</v>
      </c>
      <c r="Q16">
        <v>988.19</v>
      </c>
      <c r="R16">
        <v>56.88</v>
      </c>
      <c r="S16">
        <v>35.43</v>
      </c>
      <c r="T16">
        <v>9598.5499999999993</v>
      </c>
      <c r="U16">
        <v>0.62</v>
      </c>
      <c r="V16">
        <v>0.85</v>
      </c>
      <c r="W16">
        <v>3.02</v>
      </c>
      <c r="X16">
        <v>0.62</v>
      </c>
      <c r="Y16">
        <v>1</v>
      </c>
      <c r="Z16">
        <v>10</v>
      </c>
    </row>
    <row r="17" spans="1:26" x14ac:dyDescent="0.3">
      <c r="A17">
        <v>15</v>
      </c>
      <c r="B17">
        <v>110</v>
      </c>
      <c r="C17" t="s">
        <v>26</v>
      </c>
      <c r="D17">
        <v>5.8303000000000003</v>
      </c>
      <c r="E17">
        <v>17.149999999999999</v>
      </c>
      <c r="F17">
        <v>13.31</v>
      </c>
      <c r="G17">
        <v>27.55</v>
      </c>
      <c r="H17">
        <v>0.38</v>
      </c>
      <c r="I17">
        <v>29</v>
      </c>
      <c r="J17">
        <v>219.51</v>
      </c>
      <c r="K17">
        <v>56.13</v>
      </c>
      <c r="L17">
        <v>4.75</v>
      </c>
      <c r="M17">
        <v>27</v>
      </c>
      <c r="N17">
        <v>48.63</v>
      </c>
      <c r="O17">
        <v>27306.53</v>
      </c>
      <c r="P17">
        <v>183.46</v>
      </c>
      <c r="Q17">
        <v>988.18</v>
      </c>
      <c r="R17">
        <v>55.18</v>
      </c>
      <c r="S17">
        <v>35.43</v>
      </c>
      <c r="T17">
        <v>8757.92</v>
      </c>
      <c r="U17">
        <v>0.64</v>
      </c>
      <c r="V17">
        <v>0.86</v>
      </c>
      <c r="W17">
        <v>3.01</v>
      </c>
      <c r="X17">
        <v>0.56000000000000005</v>
      </c>
      <c r="Y17">
        <v>1</v>
      </c>
      <c r="Z17">
        <v>10</v>
      </c>
    </row>
    <row r="18" spans="1:26" x14ac:dyDescent="0.3">
      <c r="A18">
        <v>16</v>
      </c>
      <c r="B18">
        <v>110</v>
      </c>
      <c r="C18" t="s">
        <v>26</v>
      </c>
      <c r="D18">
        <v>5.8456000000000001</v>
      </c>
      <c r="E18">
        <v>17.11</v>
      </c>
      <c r="F18">
        <v>13.31</v>
      </c>
      <c r="G18">
        <v>28.53</v>
      </c>
      <c r="H18">
        <v>0.4</v>
      </c>
      <c r="I18">
        <v>28</v>
      </c>
      <c r="J18">
        <v>219.92</v>
      </c>
      <c r="K18">
        <v>56.13</v>
      </c>
      <c r="L18">
        <v>5</v>
      </c>
      <c r="M18">
        <v>26</v>
      </c>
      <c r="N18">
        <v>48.79</v>
      </c>
      <c r="O18">
        <v>27357.39</v>
      </c>
      <c r="P18">
        <v>182.58</v>
      </c>
      <c r="Q18">
        <v>988.11</v>
      </c>
      <c r="R18">
        <v>55.22</v>
      </c>
      <c r="S18">
        <v>35.43</v>
      </c>
      <c r="T18">
        <v>8780.01</v>
      </c>
      <c r="U18">
        <v>0.64</v>
      </c>
      <c r="V18">
        <v>0.86</v>
      </c>
      <c r="W18">
        <v>3.01</v>
      </c>
      <c r="X18">
        <v>0.56000000000000005</v>
      </c>
      <c r="Y18">
        <v>1</v>
      </c>
      <c r="Z18">
        <v>10</v>
      </c>
    </row>
    <row r="19" spans="1:26" x14ac:dyDescent="0.3">
      <c r="A19">
        <v>17</v>
      </c>
      <c r="B19">
        <v>110</v>
      </c>
      <c r="C19" t="s">
        <v>26</v>
      </c>
      <c r="D19">
        <v>5.8943000000000003</v>
      </c>
      <c r="E19">
        <v>16.97</v>
      </c>
      <c r="F19">
        <v>13.26</v>
      </c>
      <c r="G19">
        <v>30.59</v>
      </c>
      <c r="H19">
        <v>0.42</v>
      </c>
      <c r="I19">
        <v>26</v>
      </c>
      <c r="J19">
        <v>220.33</v>
      </c>
      <c r="K19">
        <v>56.13</v>
      </c>
      <c r="L19">
        <v>5.25</v>
      </c>
      <c r="M19">
        <v>24</v>
      </c>
      <c r="N19">
        <v>48.95</v>
      </c>
      <c r="O19">
        <v>27408.3</v>
      </c>
      <c r="P19">
        <v>180.87</v>
      </c>
      <c r="Q19">
        <v>988.29</v>
      </c>
      <c r="R19">
        <v>53.12</v>
      </c>
      <c r="S19">
        <v>35.43</v>
      </c>
      <c r="T19">
        <v>7741.92</v>
      </c>
      <c r="U19">
        <v>0.67</v>
      </c>
      <c r="V19">
        <v>0.86</v>
      </c>
      <c r="W19">
        <v>3.01</v>
      </c>
      <c r="X19">
        <v>0.5</v>
      </c>
      <c r="Y19">
        <v>1</v>
      </c>
      <c r="Z19">
        <v>10</v>
      </c>
    </row>
    <row r="20" spans="1:26" x14ac:dyDescent="0.3">
      <c r="A20">
        <v>18</v>
      </c>
      <c r="B20">
        <v>110</v>
      </c>
      <c r="C20" t="s">
        <v>26</v>
      </c>
      <c r="D20">
        <v>5.9180999999999999</v>
      </c>
      <c r="E20">
        <v>16.899999999999999</v>
      </c>
      <c r="F20">
        <v>13.23</v>
      </c>
      <c r="G20">
        <v>31.75</v>
      </c>
      <c r="H20">
        <v>0.44</v>
      </c>
      <c r="I20">
        <v>25</v>
      </c>
      <c r="J20">
        <v>220.74</v>
      </c>
      <c r="K20">
        <v>56.13</v>
      </c>
      <c r="L20">
        <v>5.5</v>
      </c>
      <c r="M20">
        <v>23</v>
      </c>
      <c r="N20">
        <v>49.12</v>
      </c>
      <c r="O20">
        <v>27459.27</v>
      </c>
      <c r="P20">
        <v>179.6</v>
      </c>
      <c r="Q20">
        <v>988.12</v>
      </c>
      <c r="R20">
        <v>52.68</v>
      </c>
      <c r="S20">
        <v>35.43</v>
      </c>
      <c r="T20">
        <v>7525.39</v>
      </c>
      <c r="U20">
        <v>0.67</v>
      </c>
      <c r="V20">
        <v>0.86</v>
      </c>
      <c r="W20">
        <v>3</v>
      </c>
      <c r="X20">
        <v>0.47</v>
      </c>
      <c r="Y20">
        <v>1</v>
      </c>
      <c r="Z20">
        <v>10</v>
      </c>
    </row>
    <row r="21" spans="1:26" x14ac:dyDescent="0.3">
      <c r="A21">
        <v>19</v>
      </c>
      <c r="B21">
        <v>110</v>
      </c>
      <c r="C21" t="s">
        <v>26</v>
      </c>
      <c r="D21">
        <v>5.9416000000000002</v>
      </c>
      <c r="E21">
        <v>16.829999999999998</v>
      </c>
      <c r="F21">
        <v>13.2</v>
      </c>
      <c r="G21">
        <v>33.01</v>
      </c>
      <c r="H21">
        <v>0.46</v>
      </c>
      <c r="I21">
        <v>24</v>
      </c>
      <c r="J21">
        <v>221.16</v>
      </c>
      <c r="K21">
        <v>56.13</v>
      </c>
      <c r="L21">
        <v>5.75</v>
      </c>
      <c r="M21">
        <v>22</v>
      </c>
      <c r="N21">
        <v>49.28</v>
      </c>
      <c r="O21">
        <v>27510.3</v>
      </c>
      <c r="P21">
        <v>178.19</v>
      </c>
      <c r="Q21">
        <v>988.28</v>
      </c>
      <c r="R21">
        <v>51.65</v>
      </c>
      <c r="S21">
        <v>35.43</v>
      </c>
      <c r="T21">
        <v>7014.44</v>
      </c>
      <c r="U21">
        <v>0.69</v>
      </c>
      <c r="V21">
        <v>0.86</v>
      </c>
      <c r="W21">
        <v>3</v>
      </c>
      <c r="X21">
        <v>0.45</v>
      </c>
      <c r="Y21">
        <v>1</v>
      </c>
      <c r="Z21">
        <v>10</v>
      </c>
    </row>
    <row r="22" spans="1:26" x14ac:dyDescent="0.3">
      <c r="A22">
        <v>20</v>
      </c>
      <c r="B22">
        <v>110</v>
      </c>
      <c r="C22" t="s">
        <v>26</v>
      </c>
      <c r="D22">
        <v>5.9587000000000003</v>
      </c>
      <c r="E22">
        <v>16.78</v>
      </c>
      <c r="F22">
        <v>13.2</v>
      </c>
      <c r="G22">
        <v>34.43</v>
      </c>
      <c r="H22">
        <v>0.48</v>
      </c>
      <c r="I22">
        <v>23</v>
      </c>
      <c r="J22">
        <v>221.57</v>
      </c>
      <c r="K22">
        <v>56.13</v>
      </c>
      <c r="L22">
        <v>6</v>
      </c>
      <c r="M22">
        <v>21</v>
      </c>
      <c r="N22">
        <v>49.45</v>
      </c>
      <c r="O22">
        <v>27561.39</v>
      </c>
      <c r="P22">
        <v>177.39</v>
      </c>
      <c r="Q22">
        <v>988.27</v>
      </c>
      <c r="R22">
        <v>51.61</v>
      </c>
      <c r="S22">
        <v>35.43</v>
      </c>
      <c r="T22">
        <v>6999.77</v>
      </c>
      <c r="U22">
        <v>0.69</v>
      </c>
      <c r="V22">
        <v>0.86</v>
      </c>
      <c r="W22">
        <v>3</v>
      </c>
      <c r="X22">
        <v>0.44</v>
      </c>
      <c r="Y22">
        <v>1</v>
      </c>
      <c r="Z22">
        <v>10</v>
      </c>
    </row>
    <row r="23" spans="1:26" x14ac:dyDescent="0.3">
      <c r="A23">
        <v>21</v>
      </c>
      <c r="B23">
        <v>110</v>
      </c>
      <c r="C23" t="s">
        <v>26</v>
      </c>
      <c r="D23">
        <v>5.9806999999999997</v>
      </c>
      <c r="E23">
        <v>16.72</v>
      </c>
      <c r="F23">
        <v>13.18</v>
      </c>
      <c r="G23">
        <v>35.94</v>
      </c>
      <c r="H23">
        <v>0.5</v>
      </c>
      <c r="I23">
        <v>22</v>
      </c>
      <c r="J23">
        <v>221.99</v>
      </c>
      <c r="K23">
        <v>56.13</v>
      </c>
      <c r="L23">
        <v>6.25</v>
      </c>
      <c r="M23">
        <v>20</v>
      </c>
      <c r="N23">
        <v>49.61</v>
      </c>
      <c r="O23">
        <v>27612.53</v>
      </c>
      <c r="P23">
        <v>176.29</v>
      </c>
      <c r="Q23">
        <v>988.15</v>
      </c>
      <c r="R23">
        <v>50.84</v>
      </c>
      <c r="S23">
        <v>35.43</v>
      </c>
      <c r="T23">
        <v>6621.29</v>
      </c>
      <c r="U23">
        <v>0.7</v>
      </c>
      <c r="V23">
        <v>0.86</v>
      </c>
      <c r="W23">
        <v>3</v>
      </c>
      <c r="X23">
        <v>0.42</v>
      </c>
      <c r="Y23">
        <v>1</v>
      </c>
      <c r="Z23">
        <v>10</v>
      </c>
    </row>
    <row r="24" spans="1:26" x14ac:dyDescent="0.3">
      <c r="A24">
        <v>22</v>
      </c>
      <c r="B24">
        <v>110</v>
      </c>
      <c r="C24" t="s">
        <v>26</v>
      </c>
      <c r="D24">
        <v>6.0063000000000004</v>
      </c>
      <c r="E24">
        <v>16.649999999999999</v>
      </c>
      <c r="F24">
        <v>13.15</v>
      </c>
      <c r="G24">
        <v>37.57</v>
      </c>
      <c r="H24">
        <v>0.52</v>
      </c>
      <c r="I24">
        <v>21</v>
      </c>
      <c r="J24">
        <v>222.4</v>
      </c>
      <c r="K24">
        <v>56.13</v>
      </c>
      <c r="L24">
        <v>6.5</v>
      </c>
      <c r="M24">
        <v>19</v>
      </c>
      <c r="N24">
        <v>49.78</v>
      </c>
      <c r="O24">
        <v>27663.85</v>
      </c>
      <c r="P24">
        <v>174.69</v>
      </c>
      <c r="Q24">
        <v>988.12</v>
      </c>
      <c r="R24">
        <v>50.14</v>
      </c>
      <c r="S24">
        <v>35.43</v>
      </c>
      <c r="T24">
        <v>6276.9</v>
      </c>
      <c r="U24">
        <v>0.71</v>
      </c>
      <c r="V24">
        <v>0.87</v>
      </c>
      <c r="W24">
        <v>3</v>
      </c>
      <c r="X24">
        <v>0.4</v>
      </c>
      <c r="Y24">
        <v>1</v>
      </c>
      <c r="Z24">
        <v>10</v>
      </c>
    </row>
    <row r="25" spans="1:26" x14ac:dyDescent="0.3">
      <c r="A25">
        <v>23</v>
      </c>
      <c r="B25">
        <v>110</v>
      </c>
      <c r="C25" t="s">
        <v>26</v>
      </c>
      <c r="D25">
        <v>6.0339999999999998</v>
      </c>
      <c r="E25">
        <v>16.57</v>
      </c>
      <c r="F25">
        <v>13.12</v>
      </c>
      <c r="G25">
        <v>39.35</v>
      </c>
      <c r="H25">
        <v>0.54</v>
      </c>
      <c r="I25">
        <v>20</v>
      </c>
      <c r="J25">
        <v>222.82</v>
      </c>
      <c r="K25">
        <v>56.13</v>
      </c>
      <c r="L25">
        <v>6.75</v>
      </c>
      <c r="M25">
        <v>18</v>
      </c>
      <c r="N25">
        <v>49.94</v>
      </c>
      <c r="O25">
        <v>27715.11</v>
      </c>
      <c r="P25">
        <v>173.5</v>
      </c>
      <c r="Q25">
        <v>988.08</v>
      </c>
      <c r="R25">
        <v>48.92</v>
      </c>
      <c r="S25">
        <v>35.43</v>
      </c>
      <c r="T25">
        <v>5671.49</v>
      </c>
      <c r="U25">
        <v>0.72</v>
      </c>
      <c r="V25">
        <v>0.87</v>
      </c>
      <c r="W25">
        <v>3</v>
      </c>
      <c r="X25">
        <v>0.36</v>
      </c>
      <c r="Y25">
        <v>1</v>
      </c>
      <c r="Z25">
        <v>10</v>
      </c>
    </row>
    <row r="26" spans="1:26" x14ac:dyDescent="0.3">
      <c r="A26">
        <v>24</v>
      </c>
      <c r="B26">
        <v>110</v>
      </c>
      <c r="C26" t="s">
        <v>26</v>
      </c>
      <c r="D26">
        <v>6.0519999999999996</v>
      </c>
      <c r="E26">
        <v>16.52</v>
      </c>
      <c r="F26">
        <v>13.11</v>
      </c>
      <c r="G26">
        <v>41.39</v>
      </c>
      <c r="H26">
        <v>0.56000000000000005</v>
      </c>
      <c r="I26">
        <v>19</v>
      </c>
      <c r="J26">
        <v>223.23</v>
      </c>
      <c r="K26">
        <v>56.13</v>
      </c>
      <c r="L26">
        <v>7</v>
      </c>
      <c r="M26">
        <v>17</v>
      </c>
      <c r="N26">
        <v>50.11</v>
      </c>
      <c r="O26">
        <v>27766.43</v>
      </c>
      <c r="P26">
        <v>172.46</v>
      </c>
      <c r="Q26">
        <v>988.1</v>
      </c>
      <c r="R26">
        <v>48.78</v>
      </c>
      <c r="S26">
        <v>35.43</v>
      </c>
      <c r="T26">
        <v>5604.49</v>
      </c>
      <c r="U26">
        <v>0.73</v>
      </c>
      <c r="V26">
        <v>0.87</v>
      </c>
      <c r="W26">
        <v>3</v>
      </c>
      <c r="X26">
        <v>0.35</v>
      </c>
      <c r="Y26">
        <v>1</v>
      </c>
      <c r="Z26">
        <v>10</v>
      </c>
    </row>
    <row r="27" spans="1:26" x14ac:dyDescent="0.3">
      <c r="A27">
        <v>25</v>
      </c>
      <c r="B27">
        <v>110</v>
      </c>
      <c r="C27" t="s">
        <v>26</v>
      </c>
      <c r="D27">
        <v>6.0707000000000004</v>
      </c>
      <c r="E27">
        <v>16.47</v>
      </c>
      <c r="F27">
        <v>13.1</v>
      </c>
      <c r="G27">
        <v>43.67</v>
      </c>
      <c r="H27">
        <v>0.57999999999999996</v>
      </c>
      <c r="I27">
        <v>18</v>
      </c>
      <c r="J27">
        <v>223.65</v>
      </c>
      <c r="K27">
        <v>56.13</v>
      </c>
      <c r="L27">
        <v>7.25</v>
      </c>
      <c r="M27">
        <v>16</v>
      </c>
      <c r="N27">
        <v>50.27</v>
      </c>
      <c r="O27">
        <v>27817.81</v>
      </c>
      <c r="P27">
        <v>171.32</v>
      </c>
      <c r="Q27">
        <v>988.22</v>
      </c>
      <c r="R27">
        <v>48.3</v>
      </c>
      <c r="S27">
        <v>35.43</v>
      </c>
      <c r="T27">
        <v>5370.79</v>
      </c>
      <c r="U27">
        <v>0.73</v>
      </c>
      <c r="V27">
        <v>0.87</v>
      </c>
      <c r="W27">
        <v>3</v>
      </c>
      <c r="X27">
        <v>0.35</v>
      </c>
      <c r="Y27">
        <v>1</v>
      </c>
      <c r="Z27">
        <v>10</v>
      </c>
    </row>
    <row r="28" spans="1:26" x14ac:dyDescent="0.3">
      <c r="A28">
        <v>26</v>
      </c>
      <c r="B28">
        <v>110</v>
      </c>
      <c r="C28" t="s">
        <v>26</v>
      </c>
      <c r="D28">
        <v>6.0739000000000001</v>
      </c>
      <c r="E28">
        <v>16.46</v>
      </c>
      <c r="F28">
        <v>13.09</v>
      </c>
      <c r="G28">
        <v>43.64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169.84</v>
      </c>
      <c r="Q28">
        <v>988.08</v>
      </c>
      <c r="R28">
        <v>48.24</v>
      </c>
      <c r="S28">
        <v>35.43</v>
      </c>
      <c r="T28">
        <v>5341.52</v>
      </c>
      <c r="U28">
        <v>0.73</v>
      </c>
      <c r="V28">
        <v>0.87</v>
      </c>
      <c r="W28">
        <v>2.99</v>
      </c>
      <c r="X28">
        <v>0.34</v>
      </c>
      <c r="Y28">
        <v>1</v>
      </c>
      <c r="Z28">
        <v>10</v>
      </c>
    </row>
    <row r="29" spans="1:26" x14ac:dyDescent="0.3">
      <c r="A29">
        <v>27</v>
      </c>
      <c r="B29">
        <v>110</v>
      </c>
      <c r="C29" t="s">
        <v>26</v>
      </c>
      <c r="D29">
        <v>6.0949</v>
      </c>
      <c r="E29">
        <v>16.41</v>
      </c>
      <c r="F29">
        <v>13.08</v>
      </c>
      <c r="G29">
        <v>46.15</v>
      </c>
      <c r="H29">
        <v>0.61</v>
      </c>
      <c r="I29">
        <v>17</v>
      </c>
      <c r="J29">
        <v>224.49</v>
      </c>
      <c r="K29">
        <v>56.13</v>
      </c>
      <c r="L29">
        <v>7.75</v>
      </c>
      <c r="M29">
        <v>15</v>
      </c>
      <c r="N29">
        <v>50.61</v>
      </c>
      <c r="O29">
        <v>27920.73</v>
      </c>
      <c r="P29">
        <v>168.37</v>
      </c>
      <c r="Q29">
        <v>988.08</v>
      </c>
      <c r="R29">
        <v>47.77</v>
      </c>
      <c r="S29">
        <v>35.43</v>
      </c>
      <c r="T29">
        <v>5112.33</v>
      </c>
      <c r="U29">
        <v>0.74</v>
      </c>
      <c r="V29">
        <v>0.87</v>
      </c>
      <c r="W29">
        <v>2.99</v>
      </c>
      <c r="X29">
        <v>0.32</v>
      </c>
      <c r="Y29">
        <v>1</v>
      </c>
      <c r="Z29">
        <v>10</v>
      </c>
    </row>
    <row r="30" spans="1:26" x14ac:dyDescent="0.3">
      <c r="A30">
        <v>28</v>
      </c>
      <c r="B30">
        <v>110</v>
      </c>
      <c r="C30" t="s">
        <v>26</v>
      </c>
      <c r="D30">
        <v>6.1182999999999996</v>
      </c>
      <c r="E30">
        <v>16.34</v>
      </c>
      <c r="F30">
        <v>13.06</v>
      </c>
      <c r="G30">
        <v>48.96</v>
      </c>
      <c r="H30">
        <v>0.63</v>
      </c>
      <c r="I30">
        <v>16</v>
      </c>
      <c r="J30">
        <v>224.9</v>
      </c>
      <c r="K30">
        <v>56.13</v>
      </c>
      <c r="L30">
        <v>8</v>
      </c>
      <c r="M30">
        <v>14</v>
      </c>
      <c r="N30">
        <v>50.78</v>
      </c>
      <c r="O30">
        <v>27972.28</v>
      </c>
      <c r="P30">
        <v>167.29</v>
      </c>
      <c r="Q30">
        <v>988.15</v>
      </c>
      <c r="R30">
        <v>47.05</v>
      </c>
      <c r="S30">
        <v>35.43</v>
      </c>
      <c r="T30">
        <v>4756.21</v>
      </c>
      <c r="U30">
        <v>0.75</v>
      </c>
      <c r="V30">
        <v>0.87</v>
      </c>
      <c r="W30">
        <v>2.99</v>
      </c>
      <c r="X30">
        <v>0.3</v>
      </c>
      <c r="Y30">
        <v>1</v>
      </c>
      <c r="Z30">
        <v>10</v>
      </c>
    </row>
    <row r="31" spans="1:26" x14ac:dyDescent="0.3">
      <c r="A31">
        <v>29</v>
      </c>
      <c r="B31">
        <v>110</v>
      </c>
      <c r="C31" t="s">
        <v>26</v>
      </c>
      <c r="D31">
        <v>6.1218000000000004</v>
      </c>
      <c r="E31">
        <v>16.34</v>
      </c>
      <c r="F31">
        <v>13.05</v>
      </c>
      <c r="G31">
        <v>48.92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166.56</v>
      </c>
      <c r="Q31">
        <v>988.22</v>
      </c>
      <c r="R31">
        <v>46.97</v>
      </c>
      <c r="S31">
        <v>35.43</v>
      </c>
      <c r="T31">
        <v>4714.7299999999996</v>
      </c>
      <c r="U31">
        <v>0.75</v>
      </c>
      <c r="V31">
        <v>0.87</v>
      </c>
      <c r="W31">
        <v>2.99</v>
      </c>
      <c r="X31">
        <v>0.28999999999999998</v>
      </c>
      <c r="Y31">
        <v>1</v>
      </c>
      <c r="Z31">
        <v>10</v>
      </c>
    </row>
    <row r="32" spans="1:26" x14ac:dyDescent="0.3">
      <c r="A32">
        <v>30</v>
      </c>
      <c r="B32">
        <v>110</v>
      </c>
      <c r="C32" t="s">
        <v>26</v>
      </c>
      <c r="D32">
        <v>6.1398999999999999</v>
      </c>
      <c r="E32">
        <v>16.29</v>
      </c>
      <c r="F32">
        <v>13.04</v>
      </c>
      <c r="G32">
        <v>52.16</v>
      </c>
      <c r="H32">
        <v>0.67</v>
      </c>
      <c r="I32">
        <v>15</v>
      </c>
      <c r="J32">
        <v>225.74</v>
      </c>
      <c r="K32">
        <v>56.13</v>
      </c>
      <c r="L32">
        <v>8.5</v>
      </c>
      <c r="M32">
        <v>13</v>
      </c>
      <c r="N32">
        <v>51.11</v>
      </c>
      <c r="O32">
        <v>28075.56</v>
      </c>
      <c r="P32">
        <v>164.98</v>
      </c>
      <c r="Q32">
        <v>988.08</v>
      </c>
      <c r="R32">
        <v>46.8</v>
      </c>
      <c r="S32">
        <v>35.43</v>
      </c>
      <c r="T32">
        <v>4634.8900000000003</v>
      </c>
      <c r="U32">
        <v>0.76</v>
      </c>
      <c r="V32">
        <v>0.87</v>
      </c>
      <c r="W32">
        <v>2.99</v>
      </c>
      <c r="X32">
        <v>0.28999999999999998</v>
      </c>
      <c r="Y32">
        <v>1</v>
      </c>
      <c r="Z32">
        <v>10</v>
      </c>
    </row>
    <row r="33" spans="1:26" x14ac:dyDescent="0.3">
      <c r="A33">
        <v>31</v>
      </c>
      <c r="B33">
        <v>110</v>
      </c>
      <c r="C33" t="s">
        <v>26</v>
      </c>
      <c r="D33">
        <v>6.1468999999999996</v>
      </c>
      <c r="E33">
        <v>16.27</v>
      </c>
      <c r="F33">
        <v>13.02</v>
      </c>
      <c r="G33">
        <v>52.09</v>
      </c>
      <c r="H33">
        <v>0.69</v>
      </c>
      <c r="I33">
        <v>15</v>
      </c>
      <c r="J33">
        <v>226.16</v>
      </c>
      <c r="K33">
        <v>56.13</v>
      </c>
      <c r="L33">
        <v>8.75</v>
      </c>
      <c r="M33">
        <v>13</v>
      </c>
      <c r="N33">
        <v>51.28</v>
      </c>
      <c r="O33">
        <v>28127.29</v>
      </c>
      <c r="P33">
        <v>164.04</v>
      </c>
      <c r="Q33">
        <v>988.08</v>
      </c>
      <c r="R33">
        <v>46.3</v>
      </c>
      <c r="S33">
        <v>35.43</v>
      </c>
      <c r="T33">
        <v>4386.1499999999996</v>
      </c>
      <c r="U33">
        <v>0.77</v>
      </c>
      <c r="V33">
        <v>0.88</v>
      </c>
      <c r="W33">
        <v>2.98</v>
      </c>
      <c r="X33">
        <v>0.27</v>
      </c>
      <c r="Y33">
        <v>1</v>
      </c>
      <c r="Z33">
        <v>10</v>
      </c>
    </row>
    <row r="34" spans="1:26" x14ac:dyDescent="0.3">
      <c r="A34">
        <v>32</v>
      </c>
      <c r="B34">
        <v>110</v>
      </c>
      <c r="C34" t="s">
        <v>26</v>
      </c>
      <c r="D34">
        <v>6.1696999999999997</v>
      </c>
      <c r="E34">
        <v>16.21</v>
      </c>
      <c r="F34">
        <v>13</v>
      </c>
      <c r="G34">
        <v>55.73</v>
      </c>
      <c r="H34">
        <v>0.71</v>
      </c>
      <c r="I34">
        <v>14</v>
      </c>
      <c r="J34">
        <v>226.58</v>
      </c>
      <c r="K34">
        <v>56.13</v>
      </c>
      <c r="L34">
        <v>9</v>
      </c>
      <c r="M34">
        <v>12</v>
      </c>
      <c r="N34">
        <v>51.45</v>
      </c>
      <c r="O34">
        <v>28179.08</v>
      </c>
      <c r="P34">
        <v>162.52000000000001</v>
      </c>
      <c r="Q34">
        <v>988.14</v>
      </c>
      <c r="R34">
        <v>45.57</v>
      </c>
      <c r="S34">
        <v>35.43</v>
      </c>
      <c r="T34">
        <v>4027.7</v>
      </c>
      <c r="U34">
        <v>0.78</v>
      </c>
      <c r="V34">
        <v>0.88</v>
      </c>
      <c r="W34">
        <v>2.98</v>
      </c>
      <c r="X34">
        <v>0.25</v>
      </c>
      <c r="Y34">
        <v>1</v>
      </c>
      <c r="Z34">
        <v>10</v>
      </c>
    </row>
    <row r="35" spans="1:26" x14ac:dyDescent="0.3">
      <c r="A35">
        <v>33</v>
      </c>
      <c r="B35">
        <v>110</v>
      </c>
      <c r="C35" t="s">
        <v>26</v>
      </c>
      <c r="D35">
        <v>6.1673999999999998</v>
      </c>
      <c r="E35">
        <v>16.21</v>
      </c>
      <c r="F35">
        <v>13.01</v>
      </c>
      <c r="G35">
        <v>55.76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12</v>
      </c>
      <c r="N35">
        <v>51.62</v>
      </c>
      <c r="O35">
        <v>28230.92</v>
      </c>
      <c r="P35">
        <v>162.16999999999999</v>
      </c>
      <c r="Q35">
        <v>988.11</v>
      </c>
      <c r="R35">
        <v>45.63</v>
      </c>
      <c r="S35">
        <v>35.43</v>
      </c>
      <c r="T35">
        <v>4058.07</v>
      </c>
      <c r="U35">
        <v>0.78</v>
      </c>
      <c r="V35">
        <v>0.88</v>
      </c>
      <c r="W35">
        <v>2.99</v>
      </c>
      <c r="X35">
        <v>0.26</v>
      </c>
      <c r="Y35">
        <v>1</v>
      </c>
      <c r="Z35">
        <v>10</v>
      </c>
    </row>
    <row r="36" spans="1:26" x14ac:dyDescent="0.3">
      <c r="A36">
        <v>34</v>
      </c>
      <c r="B36">
        <v>110</v>
      </c>
      <c r="C36" t="s">
        <v>26</v>
      </c>
      <c r="D36">
        <v>6.1943999999999999</v>
      </c>
      <c r="E36">
        <v>16.14</v>
      </c>
      <c r="F36">
        <v>12.98</v>
      </c>
      <c r="G36">
        <v>59.92</v>
      </c>
      <c r="H36">
        <v>0.74</v>
      </c>
      <c r="I36">
        <v>13</v>
      </c>
      <c r="J36">
        <v>227.42</v>
      </c>
      <c r="K36">
        <v>56.13</v>
      </c>
      <c r="L36">
        <v>9.5</v>
      </c>
      <c r="M36">
        <v>11</v>
      </c>
      <c r="N36">
        <v>51.8</v>
      </c>
      <c r="O36">
        <v>28282.83</v>
      </c>
      <c r="P36">
        <v>159.38</v>
      </c>
      <c r="Q36">
        <v>988.16</v>
      </c>
      <c r="R36">
        <v>44.79</v>
      </c>
      <c r="S36">
        <v>35.43</v>
      </c>
      <c r="T36">
        <v>3639.51</v>
      </c>
      <c r="U36">
        <v>0.79</v>
      </c>
      <c r="V36">
        <v>0.88</v>
      </c>
      <c r="W36">
        <v>2.98</v>
      </c>
      <c r="X36">
        <v>0.23</v>
      </c>
      <c r="Y36">
        <v>1</v>
      </c>
      <c r="Z36">
        <v>10</v>
      </c>
    </row>
    <row r="37" spans="1:26" x14ac:dyDescent="0.3">
      <c r="A37">
        <v>35</v>
      </c>
      <c r="B37">
        <v>110</v>
      </c>
      <c r="C37" t="s">
        <v>26</v>
      </c>
      <c r="D37">
        <v>6.1859000000000002</v>
      </c>
      <c r="E37">
        <v>16.170000000000002</v>
      </c>
      <c r="F37">
        <v>13</v>
      </c>
      <c r="G37">
        <v>60.02</v>
      </c>
      <c r="H37">
        <v>0.76</v>
      </c>
      <c r="I37">
        <v>13</v>
      </c>
      <c r="J37">
        <v>227.84</v>
      </c>
      <c r="K37">
        <v>56.13</v>
      </c>
      <c r="L37">
        <v>9.75</v>
      </c>
      <c r="M37">
        <v>11</v>
      </c>
      <c r="N37">
        <v>51.97</v>
      </c>
      <c r="O37">
        <v>28334.799999999999</v>
      </c>
      <c r="P37">
        <v>159.18</v>
      </c>
      <c r="Q37">
        <v>988.08</v>
      </c>
      <c r="R37">
        <v>45.59</v>
      </c>
      <c r="S37">
        <v>35.43</v>
      </c>
      <c r="T37">
        <v>4039.11</v>
      </c>
      <c r="U37">
        <v>0.78</v>
      </c>
      <c r="V37">
        <v>0.88</v>
      </c>
      <c r="W37">
        <v>2.99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110</v>
      </c>
      <c r="C38" t="s">
        <v>26</v>
      </c>
      <c r="D38">
        <v>6.1920000000000002</v>
      </c>
      <c r="E38">
        <v>16.149999999999999</v>
      </c>
      <c r="F38">
        <v>12.99</v>
      </c>
      <c r="G38">
        <v>59.95</v>
      </c>
      <c r="H38">
        <v>0.78</v>
      </c>
      <c r="I38">
        <v>13</v>
      </c>
      <c r="J38">
        <v>228.27</v>
      </c>
      <c r="K38">
        <v>56.13</v>
      </c>
      <c r="L38">
        <v>10</v>
      </c>
      <c r="M38">
        <v>11</v>
      </c>
      <c r="N38">
        <v>52.14</v>
      </c>
      <c r="O38">
        <v>28386.82</v>
      </c>
      <c r="P38">
        <v>158.34</v>
      </c>
      <c r="Q38">
        <v>988.09</v>
      </c>
      <c r="R38">
        <v>45.07</v>
      </c>
      <c r="S38">
        <v>35.43</v>
      </c>
      <c r="T38">
        <v>3783.57</v>
      </c>
      <c r="U38">
        <v>0.79</v>
      </c>
      <c r="V38">
        <v>0.88</v>
      </c>
      <c r="W38">
        <v>2.98</v>
      </c>
      <c r="X38">
        <v>0.23</v>
      </c>
      <c r="Y38">
        <v>1</v>
      </c>
      <c r="Z38">
        <v>10</v>
      </c>
    </row>
    <row r="39" spans="1:26" x14ac:dyDescent="0.3">
      <c r="A39">
        <v>37</v>
      </c>
      <c r="B39">
        <v>110</v>
      </c>
      <c r="C39" t="s">
        <v>26</v>
      </c>
      <c r="D39">
        <v>6.2153</v>
      </c>
      <c r="E39">
        <v>16.09</v>
      </c>
      <c r="F39">
        <v>12.97</v>
      </c>
      <c r="G39">
        <v>64.849999999999994</v>
      </c>
      <c r="H39">
        <v>0.8</v>
      </c>
      <c r="I39">
        <v>12</v>
      </c>
      <c r="J39">
        <v>228.69</v>
      </c>
      <c r="K39">
        <v>56.13</v>
      </c>
      <c r="L39">
        <v>10.25</v>
      </c>
      <c r="M39">
        <v>10</v>
      </c>
      <c r="N39">
        <v>52.31</v>
      </c>
      <c r="O39">
        <v>28438.91</v>
      </c>
      <c r="P39">
        <v>155.79</v>
      </c>
      <c r="Q39">
        <v>988.12</v>
      </c>
      <c r="R39">
        <v>44.39</v>
      </c>
      <c r="S39">
        <v>35.43</v>
      </c>
      <c r="T39">
        <v>3445.61</v>
      </c>
      <c r="U39">
        <v>0.8</v>
      </c>
      <c r="V39">
        <v>0.88</v>
      </c>
      <c r="W39">
        <v>2.98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110</v>
      </c>
      <c r="C40" t="s">
        <v>26</v>
      </c>
      <c r="D40">
        <v>6.2134999999999998</v>
      </c>
      <c r="E40">
        <v>16.09</v>
      </c>
      <c r="F40">
        <v>12.97</v>
      </c>
      <c r="G40">
        <v>64.87</v>
      </c>
      <c r="H40">
        <v>0.81</v>
      </c>
      <c r="I40">
        <v>12</v>
      </c>
      <c r="J40">
        <v>229.11</v>
      </c>
      <c r="K40">
        <v>56.13</v>
      </c>
      <c r="L40">
        <v>10.5</v>
      </c>
      <c r="M40">
        <v>10</v>
      </c>
      <c r="N40">
        <v>52.48</v>
      </c>
      <c r="O40">
        <v>28491.06</v>
      </c>
      <c r="P40">
        <v>155.33000000000001</v>
      </c>
      <c r="Q40">
        <v>988.13</v>
      </c>
      <c r="R40">
        <v>44.46</v>
      </c>
      <c r="S40">
        <v>35.43</v>
      </c>
      <c r="T40">
        <v>3482.84</v>
      </c>
      <c r="U40">
        <v>0.8</v>
      </c>
      <c r="V40">
        <v>0.88</v>
      </c>
      <c r="W40">
        <v>2.99</v>
      </c>
      <c r="X40">
        <v>0.22</v>
      </c>
      <c r="Y40">
        <v>1</v>
      </c>
      <c r="Z40">
        <v>10</v>
      </c>
    </row>
    <row r="41" spans="1:26" x14ac:dyDescent="0.3">
      <c r="A41">
        <v>39</v>
      </c>
      <c r="B41">
        <v>110</v>
      </c>
      <c r="C41" t="s">
        <v>26</v>
      </c>
      <c r="D41">
        <v>6.2157999999999998</v>
      </c>
      <c r="E41">
        <v>16.09</v>
      </c>
      <c r="F41">
        <v>12.97</v>
      </c>
      <c r="G41">
        <v>64.84</v>
      </c>
      <c r="H41">
        <v>0.83</v>
      </c>
      <c r="I41">
        <v>12</v>
      </c>
      <c r="J41">
        <v>229.53</v>
      </c>
      <c r="K41">
        <v>56.13</v>
      </c>
      <c r="L41">
        <v>10.75</v>
      </c>
      <c r="M41">
        <v>10</v>
      </c>
      <c r="N41">
        <v>52.66</v>
      </c>
      <c r="O41">
        <v>28543.27</v>
      </c>
      <c r="P41">
        <v>154.03</v>
      </c>
      <c r="Q41">
        <v>988.16</v>
      </c>
      <c r="R41">
        <v>44.46</v>
      </c>
      <c r="S41">
        <v>35.43</v>
      </c>
      <c r="T41">
        <v>3482.28</v>
      </c>
      <c r="U41">
        <v>0.8</v>
      </c>
      <c r="V41">
        <v>0.88</v>
      </c>
      <c r="W41">
        <v>2.98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110</v>
      </c>
      <c r="C42" t="s">
        <v>26</v>
      </c>
      <c r="D42">
        <v>6.2366000000000001</v>
      </c>
      <c r="E42">
        <v>16.03</v>
      </c>
      <c r="F42">
        <v>12.96</v>
      </c>
      <c r="G42">
        <v>70.680000000000007</v>
      </c>
      <c r="H42">
        <v>0.85</v>
      </c>
      <c r="I42">
        <v>11</v>
      </c>
      <c r="J42">
        <v>229.96</v>
      </c>
      <c r="K42">
        <v>56.13</v>
      </c>
      <c r="L42">
        <v>11</v>
      </c>
      <c r="M42">
        <v>9</v>
      </c>
      <c r="N42">
        <v>52.83</v>
      </c>
      <c r="O42">
        <v>28595.54</v>
      </c>
      <c r="P42">
        <v>152.79</v>
      </c>
      <c r="Q42">
        <v>988.1</v>
      </c>
      <c r="R42">
        <v>43.98</v>
      </c>
      <c r="S42">
        <v>35.43</v>
      </c>
      <c r="T42">
        <v>3247.3</v>
      </c>
      <c r="U42">
        <v>0.81</v>
      </c>
      <c r="V42">
        <v>0.88</v>
      </c>
      <c r="W42">
        <v>2.98</v>
      </c>
      <c r="X42">
        <v>0.2</v>
      </c>
      <c r="Y42">
        <v>1</v>
      </c>
      <c r="Z42">
        <v>10</v>
      </c>
    </row>
    <row r="43" spans="1:26" x14ac:dyDescent="0.3">
      <c r="A43">
        <v>41</v>
      </c>
      <c r="B43">
        <v>110</v>
      </c>
      <c r="C43" t="s">
        <v>26</v>
      </c>
      <c r="D43">
        <v>6.2392000000000003</v>
      </c>
      <c r="E43">
        <v>16.03</v>
      </c>
      <c r="F43">
        <v>12.95</v>
      </c>
      <c r="G43">
        <v>70.64</v>
      </c>
      <c r="H43">
        <v>0.87</v>
      </c>
      <c r="I43">
        <v>11</v>
      </c>
      <c r="J43">
        <v>230.38</v>
      </c>
      <c r="K43">
        <v>56.13</v>
      </c>
      <c r="L43">
        <v>11.25</v>
      </c>
      <c r="M43">
        <v>7</v>
      </c>
      <c r="N43">
        <v>53</v>
      </c>
      <c r="O43">
        <v>28647.87</v>
      </c>
      <c r="P43">
        <v>152.05000000000001</v>
      </c>
      <c r="Q43">
        <v>988.08</v>
      </c>
      <c r="R43">
        <v>43.85</v>
      </c>
      <c r="S43">
        <v>35.43</v>
      </c>
      <c r="T43">
        <v>3183.48</v>
      </c>
      <c r="U43">
        <v>0.81</v>
      </c>
      <c r="V43">
        <v>0.88</v>
      </c>
      <c r="W43">
        <v>2.98</v>
      </c>
      <c r="X43">
        <v>0.2</v>
      </c>
      <c r="Y43">
        <v>1</v>
      </c>
      <c r="Z43">
        <v>10</v>
      </c>
    </row>
    <row r="44" spans="1:26" x14ac:dyDescent="0.3">
      <c r="A44">
        <v>42</v>
      </c>
      <c r="B44">
        <v>110</v>
      </c>
      <c r="C44" t="s">
        <v>26</v>
      </c>
      <c r="D44">
        <v>6.2347000000000001</v>
      </c>
      <c r="E44">
        <v>16.04</v>
      </c>
      <c r="F44">
        <v>12.96</v>
      </c>
      <c r="G44">
        <v>70.7</v>
      </c>
      <c r="H44">
        <v>0.89</v>
      </c>
      <c r="I44">
        <v>11</v>
      </c>
      <c r="J44">
        <v>230.81</v>
      </c>
      <c r="K44">
        <v>56.13</v>
      </c>
      <c r="L44">
        <v>11.5</v>
      </c>
      <c r="M44">
        <v>6</v>
      </c>
      <c r="N44">
        <v>53.18</v>
      </c>
      <c r="O44">
        <v>28700.26</v>
      </c>
      <c r="P44">
        <v>151.9</v>
      </c>
      <c r="Q44">
        <v>988.08</v>
      </c>
      <c r="R44">
        <v>44.12</v>
      </c>
      <c r="S44">
        <v>35.43</v>
      </c>
      <c r="T44">
        <v>3316.64</v>
      </c>
      <c r="U44">
        <v>0.8</v>
      </c>
      <c r="V44">
        <v>0.88</v>
      </c>
      <c r="W44">
        <v>2.99</v>
      </c>
      <c r="X44">
        <v>0.21</v>
      </c>
      <c r="Y44">
        <v>1</v>
      </c>
      <c r="Z44">
        <v>10</v>
      </c>
    </row>
    <row r="45" spans="1:26" x14ac:dyDescent="0.3">
      <c r="A45">
        <v>43</v>
      </c>
      <c r="B45">
        <v>110</v>
      </c>
      <c r="C45" t="s">
        <v>26</v>
      </c>
      <c r="D45">
        <v>6.2370000000000001</v>
      </c>
      <c r="E45">
        <v>16.03</v>
      </c>
      <c r="F45">
        <v>12.96</v>
      </c>
      <c r="G45">
        <v>70.67</v>
      </c>
      <c r="H45">
        <v>0.9</v>
      </c>
      <c r="I45">
        <v>11</v>
      </c>
      <c r="J45">
        <v>231.23</v>
      </c>
      <c r="K45">
        <v>56.13</v>
      </c>
      <c r="L45">
        <v>11.75</v>
      </c>
      <c r="M45">
        <v>4</v>
      </c>
      <c r="N45">
        <v>53.36</v>
      </c>
      <c r="O45">
        <v>28752.71</v>
      </c>
      <c r="P45">
        <v>150.57</v>
      </c>
      <c r="Q45">
        <v>988.08</v>
      </c>
      <c r="R45">
        <v>44.04</v>
      </c>
      <c r="S45">
        <v>35.43</v>
      </c>
      <c r="T45">
        <v>3275.3</v>
      </c>
      <c r="U45">
        <v>0.8</v>
      </c>
      <c r="V45">
        <v>0.88</v>
      </c>
      <c r="W45">
        <v>2.98</v>
      </c>
      <c r="X45">
        <v>0.2</v>
      </c>
      <c r="Y45">
        <v>1</v>
      </c>
      <c r="Z45">
        <v>10</v>
      </c>
    </row>
    <row r="46" spans="1:26" x14ac:dyDescent="0.3">
      <c r="A46">
        <v>44</v>
      </c>
      <c r="B46">
        <v>110</v>
      </c>
      <c r="C46" t="s">
        <v>26</v>
      </c>
      <c r="D46">
        <v>6.2361000000000004</v>
      </c>
      <c r="E46">
        <v>16.04</v>
      </c>
      <c r="F46">
        <v>12.96</v>
      </c>
      <c r="G46">
        <v>70.680000000000007</v>
      </c>
      <c r="H46">
        <v>0.92</v>
      </c>
      <c r="I46">
        <v>11</v>
      </c>
      <c r="J46">
        <v>231.66</v>
      </c>
      <c r="K46">
        <v>56.13</v>
      </c>
      <c r="L46">
        <v>12</v>
      </c>
      <c r="M46">
        <v>2</v>
      </c>
      <c r="N46">
        <v>53.53</v>
      </c>
      <c r="O46">
        <v>28805.23</v>
      </c>
      <c r="P46">
        <v>149.68</v>
      </c>
      <c r="Q46">
        <v>988.1</v>
      </c>
      <c r="R46">
        <v>43.9</v>
      </c>
      <c r="S46">
        <v>35.43</v>
      </c>
      <c r="T46">
        <v>3205.7</v>
      </c>
      <c r="U46">
        <v>0.81</v>
      </c>
      <c r="V46">
        <v>0.88</v>
      </c>
      <c r="W46">
        <v>2.99</v>
      </c>
      <c r="X46">
        <v>0.2</v>
      </c>
      <c r="Y46">
        <v>1</v>
      </c>
      <c r="Z46">
        <v>10</v>
      </c>
    </row>
    <row r="47" spans="1:26" x14ac:dyDescent="0.3">
      <c r="A47">
        <v>45</v>
      </c>
      <c r="B47">
        <v>110</v>
      </c>
      <c r="C47" t="s">
        <v>26</v>
      </c>
      <c r="D47">
        <v>6.2366000000000001</v>
      </c>
      <c r="E47">
        <v>16.03</v>
      </c>
      <c r="F47">
        <v>12.96</v>
      </c>
      <c r="G47">
        <v>70.680000000000007</v>
      </c>
      <c r="H47">
        <v>0.94</v>
      </c>
      <c r="I47">
        <v>11</v>
      </c>
      <c r="J47">
        <v>232.08</v>
      </c>
      <c r="K47">
        <v>56.13</v>
      </c>
      <c r="L47">
        <v>12.25</v>
      </c>
      <c r="M47">
        <v>1</v>
      </c>
      <c r="N47">
        <v>53.71</v>
      </c>
      <c r="O47">
        <v>28857.81</v>
      </c>
      <c r="P47">
        <v>149.75</v>
      </c>
      <c r="Q47">
        <v>988.18</v>
      </c>
      <c r="R47">
        <v>43.81</v>
      </c>
      <c r="S47">
        <v>35.43</v>
      </c>
      <c r="T47">
        <v>3161.72</v>
      </c>
      <c r="U47">
        <v>0.81</v>
      </c>
      <c r="V47">
        <v>0.88</v>
      </c>
      <c r="W47">
        <v>2.99</v>
      </c>
      <c r="X47">
        <v>0.2</v>
      </c>
      <c r="Y47">
        <v>1</v>
      </c>
      <c r="Z47">
        <v>10</v>
      </c>
    </row>
    <row r="48" spans="1:26" x14ac:dyDescent="0.3">
      <c r="A48">
        <v>46</v>
      </c>
      <c r="B48">
        <v>110</v>
      </c>
      <c r="C48" t="s">
        <v>26</v>
      </c>
      <c r="D48">
        <v>6.2382999999999997</v>
      </c>
      <c r="E48">
        <v>16.03</v>
      </c>
      <c r="F48">
        <v>12.95</v>
      </c>
      <c r="G48">
        <v>70.650000000000006</v>
      </c>
      <c r="H48">
        <v>0.96</v>
      </c>
      <c r="I48">
        <v>11</v>
      </c>
      <c r="J48">
        <v>232.51</v>
      </c>
      <c r="K48">
        <v>56.13</v>
      </c>
      <c r="L48">
        <v>12.5</v>
      </c>
      <c r="M48">
        <v>1</v>
      </c>
      <c r="N48">
        <v>53.88</v>
      </c>
      <c r="O48">
        <v>28910.45</v>
      </c>
      <c r="P48">
        <v>149.63</v>
      </c>
      <c r="Q48">
        <v>988.18</v>
      </c>
      <c r="R48">
        <v>43.75</v>
      </c>
      <c r="S48">
        <v>35.43</v>
      </c>
      <c r="T48">
        <v>3133.1</v>
      </c>
      <c r="U48">
        <v>0.81</v>
      </c>
      <c r="V48">
        <v>0.88</v>
      </c>
      <c r="W48">
        <v>2.99</v>
      </c>
      <c r="X48">
        <v>0.2</v>
      </c>
      <c r="Y48">
        <v>1</v>
      </c>
      <c r="Z48">
        <v>10</v>
      </c>
    </row>
    <row r="49" spans="1:26" x14ac:dyDescent="0.3">
      <c r="A49">
        <v>47</v>
      </c>
      <c r="B49">
        <v>110</v>
      </c>
      <c r="C49" t="s">
        <v>26</v>
      </c>
      <c r="D49">
        <v>6.2622999999999998</v>
      </c>
      <c r="E49">
        <v>15.97</v>
      </c>
      <c r="F49">
        <v>12.93</v>
      </c>
      <c r="G49">
        <v>77.599999999999994</v>
      </c>
      <c r="H49">
        <v>0.97</v>
      </c>
      <c r="I49">
        <v>10</v>
      </c>
      <c r="J49">
        <v>232.94</v>
      </c>
      <c r="K49">
        <v>56.13</v>
      </c>
      <c r="L49">
        <v>12.75</v>
      </c>
      <c r="M49">
        <v>0</v>
      </c>
      <c r="N49">
        <v>54.06</v>
      </c>
      <c r="O49">
        <v>28963.15</v>
      </c>
      <c r="P49">
        <v>149.35</v>
      </c>
      <c r="Q49">
        <v>988.18</v>
      </c>
      <c r="R49">
        <v>43.14</v>
      </c>
      <c r="S49">
        <v>35.43</v>
      </c>
      <c r="T49">
        <v>2830.81</v>
      </c>
      <c r="U49">
        <v>0.82</v>
      </c>
      <c r="V49">
        <v>0.88</v>
      </c>
      <c r="W49">
        <v>2.99</v>
      </c>
      <c r="X49">
        <v>0.18</v>
      </c>
      <c r="Y49">
        <v>1</v>
      </c>
      <c r="Z4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ilha10"/>
  <dimension ref="A1:Z8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150</v>
      </c>
      <c r="C2" t="s">
        <v>26</v>
      </c>
      <c r="D2">
        <v>3.0103</v>
      </c>
      <c r="E2">
        <v>33.22</v>
      </c>
      <c r="F2">
        <v>17.5</v>
      </c>
      <c r="G2">
        <v>4.59</v>
      </c>
      <c r="H2">
        <v>0.06</v>
      </c>
      <c r="I2">
        <v>229</v>
      </c>
      <c r="J2">
        <v>296.64999999999998</v>
      </c>
      <c r="K2">
        <v>61.82</v>
      </c>
      <c r="L2">
        <v>1</v>
      </c>
      <c r="M2">
        <v>227</v>
      </c>
      <c r="N2">
        <v>83.83</v>
      </c>
      <c r="O2">
        <v>36821.519999999997</v>
      </c>
      <c r="P2">
        <v>318.45</v>
      </c>
      <c r="Q2">
        <v>988.86</v>
      </c>
      <c r="R2">
        <v>185.38</v>
      </c>
      <c r="S2">
        <v>35.43</v>
      </c>
      <c r="T2">
        <v>72856.98</v>
      </c>
      <c r="U2">
        <v>0.19</v>
      </c>
      <c r="V2">
        <v>0.65</v>
      </c>
      <c r="W2">
        <v>3.35</v>
      </c>
      <c r="X2">
        <v>4.74</v>
      </c>
      <c r="Y2">
        <v>1</v>
      </c>
      <c r="Z2">
        <v>10</v>
      </c>
    </row>
    <row r="3" spans="1:26" x14ac:dyDescent="0.3">
      <c r="A3">
        <v>1</v>
      </c>
      <c r="B3">
        <v>150</v>
      </c>
      <c r="C3" t="s">
        <v>26</v>
      </c>
      <c r="D3">
        <v>3.4897999999999998</v>
      </c>
      <c r="E3">
        <v>28.66</v>
      </c>
      <c r="F3">
        <v>16.21</v>
      </c>
      <c r="G3">
        <v>5.72</v>
      </c>
      <c r="H3">
        <v>7.0000000000000007E-2</v>
      </c>
      <c r="I3">
        <v>170</v>
      </c>
      <c r="J3">
        <v>297.17</v>
      </c>
      <c r="K3">
        <v>61.82</v>
      </c>
      <c r="L3">
        <v>1.25</v>
      </c>
      <c r="M3">
        <v>168</v>
      </c>
      <c r="N3">
        <v>84.1</v>
      </c>
      <c r="O3">
        <v>36885.699999999997</v>
      </c>
      <c r="P3">
        <v>294.43</v>
      </c>
      <c r="Q3">
        <v>988.6</v>
      </c>
      <c r="R3">
        <v>145.63999999999999</v>
      </c>
      <c r="S3">
        <v>35.43</v>
      </c>
      <c r="T3">
        <v>53281.62</v>
      </c>
      <c r="U3">
        <v>0.24</v>
      </c>
      <c r="V3">
        <v>0.7</v>
      </c>
      <c r="W3">
        <v>3.24</v>
      </c>
      <c r="X3">
        <v>3.45</v>
      </c>
      <c r="Y3">
        <v>1</v>
      </c>
      <c r="Z3">
        <v>10</v>
      </c>
    </row>
    <row r="4" spans="1:26" x14ac:dyDescent="0.3">
      <c r="A4">
        <v>2</v>
      </c>
      <c r="B4">
        <v>150</v>
      </c>
      <c r="C4" t="s">
        <v>26</v>
      </c>
      <c r="D4">
        <v>3.851</v>
      </c>
      <c r="E4">
        <v>25.97</v>
      </c>
      <c r="F4">
        <v>15.47</v>
      </c>
      <c r="G4">
        <v>6.88</v>
      </c>
      <c r="H4">
        <v>0.09</v>
      </c>
      <c r="I4">
        <v>135</v>
      </c>
      <c r="J4">
        <v>297.7</v>
      </c>
      <c r="K4">
        <v>61.82</v>
      </c>
      <c r="L4">
        <v>1.5</v>
      </c>
      <c r="M4">
        <v>133</v>
      </c>
      <c r="N4">
        <v>84.37</v>
      </c>
      <c r="O4">
        <v>36949.99</v>
      </c>
      <c r="P4">
        <v>280.38</v>
      </c>
      <c r="Q4">
        <v>988.35</v>
      </c>
      <c r="R4">
        <v>122.22</v>
      </c>
      <c r="S4">
        <v>35.43</v>
      </c>
      <c r="T4">
        <v>41747.49</v>
      </c>
      <c r="U4">
        <v>0.28999999999999998</v>
      </c>
      <c r="V4">
        <v>0.74</v>
      </c>
      <c r="W4">
        <v>3.18</v>
      </c>
      <c r="X4">
        <v>2.71</v>
      </c>
      <c r="Y4">
        <v>1</v>
      </c>
      <c r="Z4">
        <v>10</v>
      </c>
    </row>
    <row r="5" spans="1:26" x14ac:dyDescent="0.3">
      <c r="A5">
        <v>3</v>
      </c>
      <c r="B5">
        <v>150</v>
      </c>
      <c r="C5" t="s">
        <v>26</v>
      </c>
      <c r="D5">
        <v>4.1116999999999999</v>
      </c>
      <c r="E5">
        <v>24.32</v>
      </c>
      <c r="F5">
        <v>15.05</v>
      </c>
      <c r="G5">
        <v>7.99</v>
      </c>
      <c r="H5">
        <v>0.1</v>
      </c>
      <c r="I5">
        <v>113</v>
      </c>
      <c r="J5">
        <v>298.22000000000003</v>
      </c>
      <c r="K5">
        <v>61.82</v>
      </c>
      <c r="L5">
        <v>1.75</v>
      </c>
      <c r="M5">
        <v>111</v>
      </c>
      <c r="N5">
        <v>84.65</v>
      </c>
      <c r="O5">
        <v>37014.39</v>
      </c>
      <c r="P5">
        <v>272.14999999999998</v>
      </c>
      <c r="Q5">
        <v>988.57</v>
      </c>
      <c r="R5">
        <v>108.54</v>
      </c>
      <c r="S5">
        <v>35.43</v>
      </c>
      <c r="T5">
        <v>35018.46</v>
      </c>
      <c r="U5">
        <v>0.33</v>
      </c>
      <c r="V5">
        <v>0.76</v>
      </c>
      <c r="W5">
        <v>3.16</v>
      </c>
      <c r="X5">
        <v>2.29</v>
      </c>
      <c r="Y5">
        <v>1</v>
      </c>
      <c r="Z5">
        <v>10</v>
      </c>
    </row>
    <row r="6" spans="1:26" x14ac:dyDescent="0.3">
      <c r="A6">
        <v>4</v>
      </c>
      <c r="B6">
        <v>150</v>
      </c>
      <c r="C6" t="s">
        <v>26</v>
      </c>
      <c r="D6">
        <v>4.3423999999999996</v>
      </c>
      <c r="E6">
        <v>23.03</v>
      </c>
      <c r="F6">
        <v>14.7</v>
      </c>
      <c r="G6">
        <v>9.19</v>
      </c>
      <c r="H6">
        <v>0.12</v>
      </c>
      <c r="I6">
        <v>96</v>
      </c>
      <c r="J6">
        <v>298.74</v>
      </c>
      <c r="K6">
        <v>61.82</v>
      </c>
      <c r="L6">
        <v>2</v>
      </c>
      <c r="M6">
        <v>94</v>
      </c>
      <c r="N6">
        <v>84.92</v>
      </c>
      <c r="O6">
        <v>37078.910000000003</v>
      </c>
      <c r="P6">
        <v>265.33999999999997</v>
      </c>
      <c r="Q6">
        <v>988.24</v>
      </c>
      <c r="R6">
        <v>98.03</v>
      </c>
      <c r="S6">
        <v>35.43</v>
      </c>
      <c r="T6">
        <v>29848.15</v>
      </c>
      <c r="U6">
        <v>0.36</v>
      </c>
      <c r="V6">
        <v>0.78</v>
      </c>
      <c r="W6">
        <v>3.13</v>
      </c>
      <c r="X6">
        <v>1.94</v>
      </c>
      <c r="Y6">
        <v>1</v>
      </c>
      <c r="Z6">
        <v>10</v>
      </c>
    </row>
    <row r="7" spans="1:26" x14ac:dyDescent="0.3">
      <c r="A7">
        <v>5</v>
      </c>
      <c r="B7">
        <v>150</v>
      </c>
      <c r="C7" t="s">
        <v>26</v>
      </c>
      <c r="D7">
        <v>4.5233999999999996</v>
      </c>
      <c r="E7">
        <v>22.11</v>
      </c>
      <c r="F7">
        <v>14.44</v>
      </c>
      <c r="G7">
        <v>10.32</v>
      </c>
      <c r="H7">
        <v>0.13</v>
      </c>
      <c r="I7">
        <v>84</v>
      </c>
      <c r="J7">
        <v>299.26</v>
      </c>
      <c r="K7">
        <v>61.82</v>
      </c>
      <c r="L7">
        <v>2.25</v>
      </c>
      <c r="M7">
        <v>82</v>
      </c>
      <c r="N7">
        <v>85.19</v>
      </c>
      <c r="O7">
        <v>37143.54</v>
      </c>
      <c r="P7">
        <v>260.14</v>
      </c>
      <c r="Q7">
        <v>988.18</v>
      </c>
      <c r="R7">
        <v>90.1</v>
      </c>
      <c r="S7">
        <v>35.43</v>
      </c>
      <c r="T7">
        <v>25941.200000000001</v>
      </c>
      <c r="U7">
        <v>0.39</v>
      </c>
      <c r="V7">
        <v>0.79</v>
      </c>
      <c r="W7">
        <v>3.11</v>
      </c>
      <c r="X7">
        <v>1.69</v>
      </c>
      <c r="Y7">
        <v>1</v>
      </c>
      <c r="Z7">
        <v>10</v>
      </c>
    </row>
    <row r="8" spans="1:26" x14ac:dyDescent="0.3">
      <c r="A8">
        <v>6</v>
      </c>
      <c r="B8">
        <v>150</v>
      </c>
      <c r="C8" t="s">
        <v>26</v>
      </c>
      <c r="D8">
        <v>4.6748000000000003</v>
      </c>
      <c r="E8">
        <v>21.39</v>
      </c>
      <c r="F8">
        <v>14.23</v>
      </c>
      <c r="G8">
        <v>11.38</v>
      </c>
      <c r="H8">
        <v>0.15</v>
      </c>
      <c r="I8">
        <v>75</v>
      </c>
      <c r="J8">
        <v>299.79000000000002</v>
      </c>
      <c r="K8">
        <v>61.82</v>
      </c>
      <c r="L8">
        <v>2.5</v>
      </c>
      <c r="M8">
        <v>73</v>
      </c>
      <c r="N8">
        <v>85.47</v>
      </c>
      <c r="O8">
        <v>37208.42</v>
      </c>
      <c r="P8">
        <v>255.68</v>
      </c>
      <c r="Q8">
        <v>988.29</v>
      </c>
      <c r="R8">
        <v>83.58</v>
      </c>
      <c r="S8">
        <v>35.43</v>
      </c>
      <c r="T8">
        <v>22726.080000000002</v>
      </c>
      <c r="U8">
        <v>0.42</v>
      </c>
      <c r="V8">
        <v>0.8</v>
      </c>
      <c r="W8">
        <v>3.08</v>
      </c>
      <c r="X8">
        <v>1.47</v>
      </c>
      <c r="Y8">
        <v>1</v>
      </c>
      <c r="Z8">
        <v>10</v>
      </c>
    </row>
    <row r="9" spans="1:26" x14ac:dyDescent="0.3">
      <c r="A9">
        <v>7</v>
      </c>
      <c r="B9">
        <v>150</v>
      </c>
      <c r="C9" t="s">
        <v>26</v>
      </c>
      <c r="D9">
        <v>4.8038999999999996</v>
      </c>
      <c r="E9">
        <v>20.82</v>
      </c>
      <c r="F9">
        <v>14.1</v>
      </c>
      <c r="G9">
        <v>12.62</v>
      </c>
      <c r="H9">
        <v>0.16</v>
      </c>
      <c r="I9">
        <v>67</v>
      </c>
      <c r="J9">
        <v>300.32</v>
      </c>
      <c r="K9">
        <v>61.82</v>
      </c>
      <c r="L9">
        <v>2.75</v>
      </c>
      <c r="M9">
        <v>65</v>
      </c>
      <c r="N9">
        <v>85.74</v>
      </c>
      <c r="O9">
        <v>37273.29</v>
      </c>
      <c r="P9">
        <v>252.81</v>
      </c>
      <c r="Q9">
        <v>988.45</v>
      </c>
      <c r="R9">
        <v>79.61</v>
      </c>
      <c r="S9">
        <v>35.43</v>
      </c>
      <c r="T9">
        <v>20783.2</v>
      </c>
      <c r="U9">
        <v>0.45</v>
      </c>
      <c r="V9">
        <v>0.81</v>
      </c>
      <c r="W9">
        <v>3.07</v>
      </c>
      <c r="X9">
        <v>1.34</v>
      </c>
      <c r="Y9">
        <v>1</v>
      </c>
      <c r="Z9">
        <v>10</v>
      </c>
    </row>
    <row r="10" spans="1:26" x14ac:dyDescent="0.3">
      <c r="A10">
        <v>8</v>
      </c>
      <c r="B10">
        <v>150</v>
      </c>
      <c r="C10" t="s">
        <v>26</v>
      </c>
      <c r="D10">
        <v>4.9067999999999996</v>
      </c>
      <c r="E10">
        <v>20.38</v>
      </c>
      <c r="F10">
        <v>13.99</v>
      </c>
      <c r="G10">
        <v>13.76</v>
      </c>
      <c r="H10">
        <v>0.18</v>
      </c>
      <c r="I10">
        <v>61</v>
      </c>
      <c r="J10">
        <v>300.83999999999997</v>
      </c>
      <c r="K10">
        <v>61.82</v>
      </c>
      <c r="L10">
        <v>3</v>
      </c>
      <c r="M10">
        <v>59</v>
      </c>
      <c r="N10">
        <v>86.02</v>
      </c>
      <c r="O10">
        <v>37338.269999999997</v>
      </c>
      <c r="P10">
        <v>250.58</v>
      </c>
      <c r="Q10">
        <v>988.27</v>
      </c>
      <c r="R10">
        <v>75.98</v>
      </c>
      <c r="S10">
        <v>35.43</v>
      </c>
      <c r="T10">
        <v>18998.05</v>
      </c>
      <c r="U10">
        <v>0.47</v>
      </c>
      <c r="V10">
        <v>0.81</v>
      </c>
      <c r="W10">
        <v>3.07</v>
      </c>
      <c r="X10">
        <v>1.24</v>
      </c>
      <c r="Y10">
        <v>1</v>
      </c>
      <c r="Z10">
        <v>10</v>
      </c>
    </row>
    <row r="11" spans="1:26" x14ac:dyDescent="0.3">
      <c r="A11">
        <v>9</v>
      </c>
      <c r="B11">
        <v>150</v>
      </c>
      <c r="C11" t="s">
        <v>26</v>
      </c>
      <c r="D11">
        <v>5.0067000000000004</v>
      </c>
      <c r="E11">
        <v>19.97</v>
      </c>
      <c r="F11">
        <v>13.87</v>
      </c>
      <c r="G11">
        <v>14.86</v>
      </c>
      <c r="H11">
        <v>0.19</v>
      </c>
      <c r="I11">
        <v>56</v>
      </c>
      <c r="J11">
        <v>301.37</v>
      </c>
      <c r="K11">
        <v>61.82</v>
      </c>
      <c r="L11">
        <v>3.25</v>
      </c>
      <c r="M11">
        <v>54</v>
      </c>
      <c r="N11">
        <v>86.3</v>
      </c>
      <c r="O11">
        <v>37403.379999999997</v>
      </c>
      <c r="P11">
        <v>247.59</v>
      </c>
      <c r="Q11">
        <v>988.12</v>
      </c>
      <c r="R11">
        <v>72.23</v>
      </c>
      <c r="S11">
        <v>35.43</v>
      </c>
      <c r="T11">
        <v>17147.240000000002</v>
      </c>
      <c r="U11">
        <v>0.49</v>
      </c>
      <c r="V11">
        <v>0.82</v>
      </c>
      <c r="W11">
        <v>3.06</v>
      </c>
      <c r="X11">
        <v>1.1100000000000001</v>
      </c>
      <c r="Y11">
        <v>1</v>
      </c>
      <c r="Z11">
        <v>10</v>
      </c>
    </row>
    <row r="12" spans="1:26" x14ac:dyDescent="0.3">
      <c r="A12">
        <v>10</v>
      </c>
      <c r="B12">
        <v>150</v>
      </c>
      <c r="C12" t="s">
        <v>26</v>
      </c>
      <c r="D12">
        <v>5.0861999999999998</v>
      </c>
      <c r="E12">
        <v>19.66</v>
      </c>
      <c r="F12">
        <v>13.78</v>
      </c>
      <c r="G12">
        <v>15.89</v>
      </c>
      <c r="H12">
        <v>0.21</v>
      </c>
      <c r="I12">
        <v>52</v>
      </c>
      <c r="J12">
        <v>301.89999999999998</v>
      </c>
      <c r="K12">
        <v>61.82</v>
      </c>
      <c r="L12">
        <v>3.5</v>
      </c>
      <c r="M12">
        <v>50</v>
      </c>
      <c r="N12">
        <v>86.58</v>
      </c>
      <c r="O12">
        <v>37468.6</v>
      </c>
      <c r="P12">
        <v>245.37</v>
      </c>
      <c r="Q12">
        <v>988.31</v>
      </c>
      <c r="R12">
        <v>69.27</v>
      </c>
      <c r="S12">
        <v>35.43</v>
      </c>
      <c r="T12">
        <v>15685.23</v>
      </c>
      <c r="U12">
        <v>0.51</v>
      </c>
      <c r="V12">
        <v>0.83</v>
      </c>
      <c r="W12">
        <v>3.05</v>
      </c>
      <c r="X12">
        <v>1.02</v>
      </c>
      <c r="Y12">
        <v>1</v>
      </c>
      <c r="Z12">
        <v>10</v>
      </c>
    </row>
    <row r="13" spans="1:26" x14ac:dyDescent="0.3">
      <c r="A13">
        <v>11</v>
      </c>
      <c r="B13">
        <v>150</v>
      </c>
      <c r="C13" t="s">
        <v>26</v>
      </c>
      <c r="D13">
        <v>5.1643999999999997</v>
      </c>
      <c r="E13">
        <v>19.36</v>
      </c>
      <c r="F13">
        <v>13.7</v>
      </c>
      <c r="G13">
        <v>17.12</v>
      </c>
      <c r="H13">
        <v>0.22</v>
      </c>
      <c r="I13">
        <v>48</v>
      </c>
      <c r="J13">
        <v>302.43</v>
      </c>
      <c r="K13">
        <v>61.82</v>
      </c>
      <c r="L13">
        <v>3.75</v>
      </c>
      <c r="M13">
        <v>46</v>
      </c>
      <c r="N13">
        <v>86.86</v>
      </c>
      <c r="O13">
        <v>37533.94</v>
      </c>
      <c r="P13">
        <v>243.59</v>
      </c>
      <c r="Q13">
        <v>988.12</v>
      </c>
      <c r="R13">
        <v>67.14</v>
      </c>
      <c r="S13">
        <v>35.43</v>
      </c>
      <c r="T13">
        <v>14639.79</v>
      </c>
      <c r="U13">
        <v>0.53</v>
      </c>
      <c r="V13">
        <v>0.83</v>
      </c>
      <c r="W13">
        <v>3.04</v>
      </c>
      <c r="X13">
        <v>0.94</v>
      </c>
      <c r="Y13">
        <v>1</v>
      </c>
      <c r="Z13">
        <v>10</v>
      </c>
    </row>
    <row r="14" spans="1:26" x14ac:dyDescent="0.3">
      <c r="A14">
        <v>12</v>
      </c>
      <c r="B14">
        <v>150</v>
      </c>
      <c r="C14" t="s">
        <v>26</v>
      </c>
      <c r="D14">
        <v>5.2270000000000003</v>
      </c>
      <c r="E14">
        <v>19.13</v>
      </c>
      <c r="F14">
        <v>13.63</v>
      </c>
      <c r="G14">
        <v>18.18</v>
      </c>
      <c r="H14">
        <v>0.24</v>
      </c>
      <c r="I14">
        <v>45</v>
      </c>
      <c r="J14">
        <v>302.95999999999998</v>
      </c>
      <c r="K14">
        <v>61.82</v>
      </c>
      <c r="L14">
        <v>4</v>
      </c>
      <c r="M14">
        <v>43</v>
      </c>
      <c r="N14">
        <v>87.14</v>
      </c>
      <c r="O14">
        <v>37599.4</v>
      </c>
      <c r="P14">
        <v>241.94</v>
      </c>
      <c r="Q14">
        <v>988.18</v>
      </c>
      <c r="R14">
        <v>65.099999999999994</v>
      </c>
      <c r="S14">
        <v>35.43</v>
      </c>
      <c r="T14">
        <v>13636.42</v>
      </c>
      <c r="U14">
        <v>0.54</v>
      </c>
      <c r="V14">
        <v>0.84</v>
      </c>
      <c r="W14">
        <v>3.04</v>
      </c>
      <c r="X14">
        <v>0.88</v>
      </c>
      <c r="Y14">
        <v>1</v>
      </c>
      <c r="Z14">
        <v>10</v>
      </c>
    </row>
    <row r="15" spans="1:26" x14ac:dyDescent="0.3">
      <c r="A15">
        <v>13</v>
      </c>
      <c r="B15">
        <v>150</v>
      </c>
      <c r="C15" t="s">
        <v>26</v>
      </c>
      <c r="D15">
        <v>5.2887000000000004</v>
      </c>
      <c r="E15">
        <v>18.91</v>
      </c>
      <c r="F15">
        <v>13.58</v>
      </c>
      <c r="G15">
        <v>19.399999999999999</v>
      </c>
      <c r="H15">
        <v>0.25</v>
      </c>
      <c r="I15">
        <v>42</v>
      </c>
      <c r="J15">
        <v>303.49</v>
      </c>
      <c r="K15">
        <v>61.82</v>
      </c>
      <c r="L15">
        <v>4.25</v>
      </c>
      <c r="M15">
        <v>40</v>
      </c>
      <c r="N15">
        <v>87.42</v>
      </c>
      <c r="O15">
        <v>37664.980000000003</v>
      </c>
      <c r="P15">
        <v>240.5</v>
      </c>
      <c r="Q15">
        <v>988.21</v>
      </c>
      <c r="R15">
        <v>63.37</v>
      </c>
      <c r="S15">
        <v>35.43</v>
      </c>
      <c r="T15">
        <v>12786.63</v>
      </c>
      <c r="U15">
        <v>0.56000000000000005</v>
      </c>
      <c r="V15">
        <v>0.84</v>
      </c>
      <c r="W15">
        <v>3.03</v>
      </c>
      <c r="X15">
        <v>0.82</v>
      </c>
      <c r="Y15">
        <v>1</v>
      </c>
      <c r="Z15">
        <v>10</v>
      </c>
    </row>
    <row r="16" spans="1:26" x14ac:dyDescent="0.3">
      <c r="A16">
        <v>14</v>
      </c>
      <c r="B16">
        <v>150</v>
      </c>
      <c r="C16" t="s">
        <v>26</v>
      </c>
      <c r="D16">
        <v>5.3483000000000001</v>
      </c>
      <c r="E16">
        <v>18.7</v>
      </c>
      <c r="F16">
        <v>13.53</v>
      </c>
      <c r="G16">
        <v>20.82</v>
      </c>
      <c r="H16">
        <v>0.26</v>
      </c>
      <c r="I16">
        <v>39</v>
      </c>
      <c r="J16">
        <v>304.02999999999997</v>
      </c>
      <c r="K16">
        <v>61.82</v>
      </c>
      <c r="L16">
        <v>4.5</v>
      </c>
      <c r="M16">
        <v>37</v>
      </c>
      <c r="N16">
        <v>87.7</v>
      </c>
      <c r="O16">
        <v>37730.68</v>
      </c>
      <c r="P16">
        <v>239.11</v>
      </c>
      <c r="Q16">
        <v>988.3</v>
      </c>
      <c r="R16">
        <v>61.9</v>
      </c>
      <c r="S16">
        <v>35.43</v>
      </c>
      <c r="T16">
        <v>12064.86</v>
      </c>
      <c r="U16">
        <v>0.56999999999999995</v>
      </c>
      <c r="V16">
        <v>0.84</v>
      </c>
      <c r="W16">
        <v>3.03</v>
      </c>
      <c r="X16">
        <v>0.78</v>
      </c>
      <c r="Y16">
        <v>1</v>
      </c>
      <c r="Z16">
        <v>10</v>
      </c>
    </row>
    <row r="17" spans="1:26" x14ac:dyDescent="0.3">
      <c r="A17">
        <v>15</v>
      </c>
      <c r="B17">
        <v>150</v>
      </c>
      <c r="C17" t="s">
        <v>26</v>
      </c>
      <c r="D17">
        <v>5.3962000000000003</v>
      </c>
      <c r="E17">
        <v>18.53</v>
      </c>
      <c r="F17">
        <v>13.48</v>
      </c>
      <c r="G17">
        <v>21.86</v>
      </c>
      <c r="H17">
        <v>0.28000000000000003</v>
      </c>
      <c r="I17">
        <v>37</v>
      </c>
      <c r="J17">
        <v>304.56</v>
      </c>
      <c r="K17">
        <v>61.82</v>
      </c>
      <c r="L17">
        <v>4.75</v>
      </c>
      <c r="M17">
        <v>35</v>
      </c>
      <c r="N17">
        <v>87.99</v>
      </c>
      <c r="O17">
        <v>37796.51</v>
      </c>
      <c r="P17">
        <v>237.69</v>
      </c>
      <c r="Q17">
        <v>988.28</v>
      </c>
      <c r="R17">
        <v>60.16</v>
      </c>
      <c r="S17">
        <v>35.43</v>
      </c>
      <c r="T17">
        <v>11206.48</v>
      </c>
      <c r="U17">
        <v>0.59</v>
      </c>
      <c r="V17">
        <v>0.85</v>
      </c>
      <c r="W17">
        <v>3.03</v>
      </c>
      <c r="X17">
        <v>0.72</v>
      </c>
      <c r="Y17">
        <v>1</v>
      </c>
      <c r="Z17">
        <v>10</v>
      </c>
    </row>
    <row r="18" spans="1:26" x14ac:dyDescent="0.3">
      <c r="A18">
        <v>16</v>
      </c>
      <c r="B18">
        <v>150</v>
      </c>
      <c r="C18" t="s">
        <v>26</v>
      </c>
      <c r="D18">
        <v>5.4409000000000001</v>
      </c>
      <c r="E18">
        <v>18.38</v>
      </c>
      <c r="F18">
        <v>13.44</v>
      </c>
      <c r="G18">
        <v>23.04</v>
      </c>
      <c r="H18">
        <v>0.28999999999999998</v>
      </c>
      <c r="I18">
        <v>35</v>
      </c>
      <c r="J18">
        <v>305.08999999999997</v>
      </c>
      <c r="K18">
        <v>61.82</v>
      </c>
      <c r="L18">
        <v>5</v>
      </c>
      <c r="M18">
        <v>33</v>
      </c>
      <c r="N18">
        <v>88.27</v>
      </c>
      <c r="O18">
        <v>37862.449999999997</v>
      </c>
      <c r="P18">
        <v>236.6</v>
      </c>
      <c r="Q18">
        <v>988.3</v>
      </c>
      <c r="R18">
        <v>58.73</v>
      </c>
      <c r="S18">
        <v>35.43</v>
      </c>
      <c r="T18">
        <v>10501.95</v>
      </c>
      <c r="U18">
        <v>0.6</v>
      </c>
      <c r="V18">
        <v>0.85</v>
      </c>
      <c r="W18">
        <v>3.03</v>
      </c>
      <c r="X18">
        <v>0.68</v>
      </c>
      <c r="Y18">
        <v>1</v>
      </c>
      <c r="Z18">
        <v>10</v>
      </c>
    </row>
    <row r="19" spans="1:26" x14ac:dyDescent="0.3">
      <c r="A19">
        <v>17</v>
      </c>
      <c r="B19">
        <v>150</v>
      </c>
      <c r="C19" t="s">
        <v>26</v>
      </c>
      <c r="D19">
        <v>5.4885999999999999</v>
      </c>
      <c r="E19">
        <v>18.22</v>
      </c>
      <c r="F19">
        <v>13.39</v>
      </c>
      <c r="G19">
        <v>24.34</v>
      </c>
      <c r="H19">
        <v>0.31</v>
      </c>
      <c r="I19">
        <v>33</v>
      </c>
      <c r="J19">
        <v>305.63</v>
      </c>
      <c r="K19">
        <v>61.82</v>
      </c>
      <c r="L19">
        <v>5.25</v>
      </c>
      <c r="M19">
        <v>31</v>
      </c>
      <c r="N19">
        <v>88.56</v>
      </c>
      <c r="O19">
        <v>37928.519999999997</v>
      </c>
      <c r="P19">
        <v>234.75</v>
      </c>
      <c r="Q19">
        <v>988.23</v>
      </c>
      <c r="R19">
        <v>57.41</v>
      </c>
      <c r="S19">
        <v>35.43</v>
      </c>
      <c r="T19">
        <v>9850.64</v>
      </c>
      <c r="U19">
        <v>0.62</v>
      </c>
      <c r="V19">
        <v>0.85</v>
      </c>
      <c r="W19">
        <v>3.02</v>
      </c>
      <c r="X19">
        <v>0.63</v>
      </c>
      <c r="Y19">
        <v>1</v>
      </c>
      <c r="Z19">
        <v>10</v>
      </c>
    </row>
    <row r="20" spans="1:26" x14ac:dyDescent="0.3">
      <c r="A20">
        <v>18</v>
      </c>
      <c r="B20">
        <v>150</v>
      </c>
      <c r="C20" t="s">
        <v>26</v>
      </c>
      <c r="D20">
        <v>5.5021000000000004</v>
      </c>
      <c r="E20">
        <v>18.170000000000002</v>
      </c>
      <c r="F20">
        <v>13.4</v>
      </c>
      <c r="G20">
        <v>25.12</v>
      </c>
      <c r="H20">
        <v>0.32</v>
      </c>
      <c r="I20">
        <v>32</v>
      </c>
      <c r="J20">
        <v>306.17</v>
      </c>
      <c r="K20">
        <v>61.82</v>
      </c>
      <c r="L20">
        <v>5.5</v>
      </c>
      <c r="M20">
        <v>30</v>
      </c>
      <c r="N20">
        <v>88.84</v>
      </c>
      <c r="O20">
        <v>37994.720000000001</v>
      </c>
      <c r="P20">
        <v>234.56</v>
      </c>
      <c r="Q20">
        <v>988.19</v>
      </c>
      <c r="R20">
        <v>57.56</v>
      </c>
      <c r="S20">
        <v>35.43</v>
      </c>
      <c r="T20">
        <v>9932.7000000000007</v>
      </c>
      <c r="U20">
        <v>0.62</v>
      </c>
      <c r="V20">
        <v>0.85</v>
      </c>
      <c r="W20">
        <v>3.03</v>
      </c>
      <c r="X20">
        <v>0.65</v>
      </c>
      <c r="Y20">
        <v>1</v>
      </c>
      <c r="Z20">
        <v>10</v>
      </c>
    </row>
    <row r="21" spans="1:26" x14ac:dyDescent="0.3">
      <c r="A21">
        <v>19</v>
      </c>
      <c r="B21">
        <v>150</v>
      </c>
      <c r="C21" t="s">
        <v>26</v>
      </c>
      <c r="D21">
        <v>5.5568</v>
      </c>
      <c r="E21">
        <v>18</v>
      </c>
      <c r="F21">
        <v>13.33</v>
      </c>
      <c r="G21">
        <v>26.66</v>
      </c>
      <c r="H21">
        <v>0.33</v>
      </c>
      <c r="I21">
        <v>30</v>
      </c>
      <c r="J21">
        <v>306.7</v>
      </c>
      <c r="K21">
        <v>61.82</v>
      </c>
      <c r="L21">
        <v>5.75</v>
      </c>
      <c r="M21">
        <v>28</v>
      </c>
      <c r="N21">
        <v>89.13</v>
      </c>
      <c r="O21">
        <v>38061.040000000001</v>
      </c>
      <c r="P21">
        <v>232.83</v>
      </c>
      <c r="Q21">
        <v>988.14</v>
      </c>
      <c r="R21">
        <v>55.8</v>
      </c>
      <c r="S21">
        <v>35.43</v>
      </c>
      <c r="T21">
        <v>9062.99</v>
      </c>
      <c r="U21">
        <v>0.63</v>
      </c>
      <c r="V21">
        <v>0.85</v>
      </c>
      <c r="W21">
        <v>3.01</v>
      </c>
      <c r="X21">
        <v>0.57999999999999996</v>
      </c>
      <c r="Y21">
        <v>1</v>
      </c>
      <c r="Z21">
        <v>10</v>
      </c>
    </row>
    <row r="22" spans="1:26" x14ac:dyDescent="0.3">
      <c r="A22">
        <v>20</v>
      </c>
      <c r="B22">
        <v>150</v>
      </c>
      <c r="C22" t="s">
        <v>26</v>
      </c>
      <c r="D22">
        <v>5.5807000000000002</v>
      </c>
      <c r="E22">
        <v>17.920000000000002</v>
      </c>
      <c r="F22">
        <v>13.31</v>
      </c>
      <c r="G22">
        <v>27.54</v>
      </c>
      <c r="H22">
        <v>0.35</v>
      </c>
      <c r="I22">
        <v>29</v>
      </c>
      <c r="J22">
        <v>307.24</v>
      </c>
      <c r="K22">
        <v>61.82</v>
      </c>
      <c r="L22">
        <v>6</v>
      </c>
      <c r="M22">
        <v>27</v>
      </c>
      <c r="N22">
        <v>89.42</v>
      </c>
      <c r="O22">
        <v>38127.480000000003</v>
      </c>
      <c r="P22">
        <v>232.06</v>
      </c>
      <c r="Q22">
        <v>988.29</v>
      </c>
      <c r="R22">
        <v>55.18</v>
      </c>
      <c r="S22">
        <v>35.43</v>
      </c>
      <c r="T22">
        <v>8756.1</v>
      </c>
      <c r="U22">
        <v>0.64</v>
      </c>
      <c r="V22">
        <v>0.86</v>
      </c>
      <c r="W22">
        <v>3.01</v>
      </c>
      <c r="X22">
        <v>0.56000000000000005</v>
      </c>
      <c r="Y22">
        <v>1</v>
      </c>
      <c r="Z22">
        <v>10</v>
      </c>
    </row>
    <row r="23" spans="1:26" x14ac:dyDescent="0.3">
      <c r="A23">
        <v>21</v>
      </c>
      <c r="B23">
        <v>150</v>
      </c>
      <c r="C23" t="s">
        <v>26</v>
      </c>
      <c r="D23">
        <v>5.6032999999999999</v>
      </c>
      <c r="E23">
        <v>17.850000000000001</v>
      </c>
      <c r="F23">
        <v>13.29</v>
      </c>
      <c r="G23">
        <v>28.49</v>
      </c>
      <c r="H23">
        <v>0.36</v>
      </c>
      <c r="I23">
        <v>28</v>
      </c>
      <c r="J23">
        <v>307.77999999999997</v>
      </c>
      <c r="K23">
        <v>61.82</v>
      </c>
      <c r="L23">
        <v>6.25</v>
      </c>
      <c r="M23">
        <v>26</v>
      </c>
      <c r="N23">
        <v>89.71</v>
      </c>
      <c r="O23">
        <v>38194.050000000003</v>
      </c>
      <c r="P23">
        <v>231.21</v>
      </c>
      <c r="Q23">
        <v>988.15</v>
      </c>
      <c r="R23">
        <v>54.65</v>
      </c>
      <c r="S23">
        <v>35.43</v>
      </c>
      <c r="T23">
        <v>8494.2099999999991</v>
      </c>
      <c r="U23">
        <v>0.65</v>
      </c>
      <c r="V23">
        <v>0.86</v>
      </c>
      <c r="W23">
        <v>3.01</v>
      </c>
      <c r="X23">
        <v>0.54</v>
      </c>
      <c r="Y23">
        <v>1</v>
      </c>
      <c r="Z23">
        <v>10</v>
      </c>
    </row>
    <row r="24" spans="1:26" x14ac:dyDescent="0.3">
      <c r="A24">
        <v>22</v>
      </c>
      <c r="B24">
        <v>150</v>
      </c>
      <c r="C24" t="s">
        <v>26</v>
      </c>
      <c r="D24">
        <v>5.6289999999999996</v>
      </c>
      <c r="E24">
        <v>17.77</v>
      </c>
      <c r="F24">
        <v>13.27</v>
      </c>
      <c r="G24">
        <v>29.48</v>
      </c>
      <c r="H24">
        <v>0.38</v>
      </c>
      <c r="I24">
        <v>27</v>
      </c>
      <c r="J24">
        <v>308.32</v>
      </c>
      <c r="K24">
        <v>61.82</v>
      </c>
      <c r="L24">
        <v>6.5</v>
      </c>
      <c r="M24">
        <v>25</v>
      </c>
      <c r="N24">
        <v>90</v>
      </c>
      <c r="O24">
        <v>38260.74</v>
      </c>
      <c r="P24">
        <v>230.34</v>
      </c>
      <c r="Q24">
        <v>988.09</v>
      </c>
      <c r="R24">
        <v>53.81</v>
      </c>
      <c r="S24">
        <v>35.43</v>
      </c>
      <c r="T24">
        <v>8082.68</v>
      </c>
      <c r="U24">
        <v>0.66</v>
      </c>
      <c r="V24">
        <v>0.86</v>
      </c>
      <c r="W24">
        <v>3.01</v>
      </c>
      <c r="X24">
        <v>0.51</v>
      </c>
      <c r="Y24">
        <v>1</v>
      </c>
      <c r="Z24">
        <v>10</v>
      </c>
    </row>
    <row r="25" spans="1:26" x14ac:dyDescent="0.3">
      <c r="A25">
        <v>23</v>
      </c>
      <c r="B25">
        <v>150</v>
      </c>
      <c r="C25" t="s">
        <v>26</v>
      </c>
      <c r="D25">
        <v>5.6501000000000001</v>
      </c>
      <c r="E25">
        <v>17.7</v>
      </c>
      <c r="F25">
        <v>13.26</v>
      </c>
      <c r="G25">
        <v>30.59</v>
      </c>
      <c r="H25">
        <v>0.39</v>
      </c>
      <c r="I25">
        <v>26</v>
      </c>
      <c r="J25">
        <v>308.86</v>
      </c>
      <c r="K25">
        <v>61.82</v>
      </c>
      <c r="L25">
        <v>6.75</v>
      </c>
      <c r="M25">
        <v>24</v>
      </c>
      <c r="N25">
        <v>90.29</v>
      </c>
      <c r="O25">
        <v>38327.57</v>
      </c>
      <c r="P25">
        <v>229.59</v>
      </c>
      <c r="Q25">
        <v>988.23</v>
      </c>
      <c r="R25">
        <v>53.26</v>
      </c>
      <c r="S25">
        <v>35.43</v>
      </c>
      <c r="T25">
        <v>7812.94</v>
      </c>
      <c r="U25">
        <v>0.67</v>
      </c>
      <c r="V25">
        <v>0.86</v>
      </c>
      <c r="W25">
        <v>3.01</v>
      </c>
      <c r="X25">
        <v>0.5</v>
      </c>
      <c r="Y25">
        <v>1</v>
      </c>
      <c r="Z25">
        <v>10</v>
      </c>
    </row>
    <row r="26" spans="1:26" x14ac:dyDescent="0.3">
      <c r="A26">
        <v>24</v>
      </c>
      <c r="B26">
        <v>150</v>
      </c>
      <c r="C26" t="s">
        <v>26</v>
      </c>
      <c r="D26">
        <v>5.6768000000000001</v>
      </c>
      <c r="E26">
        <v>17.62</v>
      </c>
      <c r="F26">
        <v>13.23</v>
      </c>
      <c r="G26">
        <v>31.75</v>
      </c>
      <c r="H26">
        <v>0.4</v>
      </c>
      <c r="I26">
        <v>25</v>
      </c>
      <c r="J26">
        <v>309.41000000000003</v>
      </c>
      <c r="K26">
        <v>61.82</v>
      </c>
      <c r="L26">
        <v>7</v>
      </c>
      <c r="M26">
        <v>23</v>
      </c>
      <c r="N26">
        <v>90.59</v>
      </c>
      <c r="O26">
        <v>38394.519999999997</v>
      </c>
      <c r="P26">
        <v>228.61</v>
      </c>
      <c r="Q26">
        <v>988.15</v>
      </c>
      <c r="R26">
        <v>52.65</v>
      </c>
      <c r="S26">
        <v>35.43</v>
      </c>
      <c r="T26">
        <v>7511.52</v>
      </c>
      <c r="U26">
        <v>0.67</v>
      </c>
      <c r="V26">
        <v>0.86</v>
      </c>
      <c r="W26">
        <v>3</v>
      </c>
      <c r="X26">
        <v>0.47</v>
      </c>
      <c r="Y26">
        <v>1</v>
      </c>
      <c r="Z26">
        <v>10</v>
      </c>
    </row>
    <row r="27" spans="1:26" x14ac:dyDescent="0.3">
      <c r="A27">
        <v>25</v>
      </c>
      <c r="B27">
        <v>150</v>
      </c>
      <c r="C27" t="s">
        <v>26</v>
      </c>
      <c r="D27">
        <v>5.7035999999999998</v>
      </c>
      <c r="E27">
        <v>17.53</v>
      </c>
      <c r="F27">
        <v>13.2</v>
      </c>
      <c r="G27">
        <v>33.01</v>
      </c>
      <c r="H27">
        <v>0.42</v>
      </c>
      <c r="I27">
        <v>24</v>
      </c>
      <c r="J27">
        <v>309.95</v>
      </c>
      <c r="K27">
        <v>61.82</v>
      </c>
      <c r="L27">
        <v>7.25</v>
      </c>
      <c r="M27">
        <v>22</v>
      </c>
      <c r="N27">
        <v>90.88</v>
      </c>
      <c r="O27">
        <v>38461.599999999999</v>
      </c>
      <c r="P27">
        <v>227.49</v>
      </c>
      <c r="Q27">
        <v>988.15</v>
      </c>
      <c r="R27">
        <v>51.57</v>
      </c>
      <c r="S27">
        <v>35.43</v>
      </c>
      <c r="T27">
        <v>6976.16</v>
      </c>
      <c r="U27">
        <v>0.69</v>
      </c>
      <c r="V27">
        <v>0.86</v>
      </c>
      <c r="W27">
        <v>3</v>
      </c>
      <c r="X27">
        <v>0.45</v>
      </c>
      <c r="Y27">
        <v>1</v>
      </c>
      <c r="Z27">
        <v>10</v>
      </c>
    </row>
    <row r="28" spans="1:26" x14ac:dyDescent="0.3">
      <c r="A28">
        <v>26</v>
      </c>
      <c r="B28">
        <v>150</v>
      </c>
      <c r="C28" t="s">
        <v>26</v>
      </c>
      <c r="D28">
        <v>5.7224000000000004</v>
      </c>
      <c r="E28">
        <v>17.48</v>
      </c>
      <c r="F28">
        <v>13.2</v>
      </c>
      <c r="G28">
        <v>34.44</v>
      </c>
      <c r="H28">
        <v>0.43</v>
      </c>
      <c r="I28">
        <v>23</v>
      </c>
      <c r="J28">
        <v>310.5</v>
      </c>
      <c r="K28">
        <v>61.82</v>
      </c>
      <c r="L28">
        <v>7.5</v>
      </c>
      <c r="M28">
        <v>21</v>
      </c>
      <c r="N28">
        <v>91.18</v>
      </c>
      <c r="O28">
        <v>38528.81</v>
      </c>
      <c r="P28">
        <v>226.91</v>
      </c>
      <c r="Q28">
        <v>988.12</v>
      </c>
      <c r="R28">
        <v>51.64</v>
      </c>
      <c r="S28">
        <v>35.43</v>
      </c>
      <c r="T28">
        <v>7017.83</v>
      </c>
      <c r="U28">
        <v>0.69</v>
      </c>
      <c r="V28">
        <v>0.86</v>
      </c>
      <c r="W28">
        <v>3</v>
      </c>
      <c r="X28">
        <v>0.45</v>
      </c>
      <c r="Y28">
        <v>1</v>
      </c>
      <c r="Z28">
        <v>10</v>
      </c>
    </row>
    <row r="29" spans="1:26" x14ac:dyDescent="0.3">
      <c r="A29">
        <v>27</v>
      </c>
      <c r="B29">
        <v>150</v>
      </c>
      <c r="C29" t="s">
        <v>26</v>
      </c>
      <c r="D29">
        <v>5.7497999999999996</v>
      </c>
      <c r="E29">
        <v>17.39</v>
      </c>
      <c r="F29">
        <v>13.17</v>
      </c>
      <c r="G29">
        <v>35.92</v>
      </c>
      <c r="H29">
        <v>0.44</v>
      </c>
      <c r="I29">
        <v>22</v>
      </c>
      <c r="J29">
        <v>311.04000000000002</v>
      </c>
      <c r="K29">
        <v>61.82</v>
      </c>
      <c r="L29">
        <v>7.75</v>
      </c>
      <c r="M29">
        <v>20</v>
      </c>
      <c r="N29">
        <v>91.47</v>
      </c>
      <c r="O29">
        <v>38596.15</v>
      </c>
      <c r="P29">
        <v>226.15</v>
      </c>
      <c r="Q29">
        <v>988.19</v>
      </c>
      <c r="R29">
        <v>50.62</v>
      </c>
      <c r="S29">
        <v>35.43</v>
      </c>
      <c r="T29">
        <v>6512.28</v>
      </c>
      <c r="U29">
        <v>0.7</v>
      </c>
      <c r="V29">
        <v>0.87</v>
      </c>
      <c r="W29">
        <v>3</v>
      </c>
      <c r="X29">
        <v>0.42</v>
      </c>
      <c r="Y29">
        <v>1</v>
      </c>
      <c r="Z29">
        <v>10</v>
      </c>
    </row>
    <row r="30" spans="1:26" x14ac:dyDescent="0.3">
      <c r="A30">
        <v>28</v>
      </c>
      <c r="B30">
        <v>150</v>
      </c>
      <c r="C30" t="s">
        <v>26</v>
      </c>
      <c r="D30">
        <v>5.7500999999999998</v>
      </c>
      <c r="E30">
        <v>17.39</v>
      </c>
      <c r="F30">
        <v>13.17</v>
      </c>
      <c r="G30">
        <v>35.92</v>
      </c>
      <c r="H30">
        <v>0.46</v>
      </c>
      <c r="I30">
        <v>22</v>
      </c>
      <c r="J30">
        <v>311.58999999999997</v>
      </c>
      <c r="K30">
        <v>61.82</v>
      </c>
      <c r="L30">
        <v>8</v>
      </c>
      <c r="M30">
        <v>20</v>
      </c>
      <c r="N30">
        <v>91.77</v>
      </c>
      <c r="O30">
        <v>38663.620000000003</v>
      </c>
      <c r="P30">
        <v>225.49</v>
      </c>
      <c r="Q30">
        <v>988.28</v>
      </c>
      <c r="R30">
        <v>50.74</v>
      </c>
      <c r="S30">
        <v>35.43</v>
      </c>
      <c r="T30">
        <v>6572.96</v>
      </c>
      <c r="U30">
        <v>0.7</v>
      </c>
      <c r="V30">
        <v>0.87</v>
      </c>
      <c r="W30">
        <v>3</v>
      </c>
      <c r="X30">
        <v>0.42</v>
      </c>
      <c r="Y30">
        <v>1</v>
      </c>
      <c r="Z30">
        <v>10</v>
      </c>
    </row>
    <row r="31" spans="1:26" x14ac:dyDescent="0.3">
      <c r="A31">
        <v>29</v>
      </c>
      <c r="B31">
        <v>150</v>
      </c>
      <c r="C31" t="s">
        <v>26</v>
      </c>
      <c r="D31">
        <v>5.7748999999999997</v>
      </c>
      <c r="E31">
        <v>17.32</v>
      </c>
      <c r="F31">
        <v>13.15</v>
      </c>
      <c r="G31">
        <v>37.58</v>
      </c>
      <c r="H31">
        <v>0.47</v>
      </c>
      <c r="I31">
        <v>21</v>
      </c>
      <c r="J31">
        <v>312.14</v>
      </c>
      <c r="K31">
        <v>61.82</v>
      </c>
      <c r="L31">
        <v>8.25</v>
      </c>
      <c r="M31">
        <v>19</v>
      </c>
      <c r="N31">
        <v>92.07</v>
      </c>
      <c r="O31">
        <v>38731.35</v>
      </c>
      <c r="P31">
        <v>224.5</v>
      </c>
      <c r="Q31">
        <v>988.11</v>
      </c>
      <c r="R31">
        <v>50.29</v>
      </c>
      <c r="S31">
        <v>35.43</v>
      </c>
      <c r="T31">
        <v>6353.41</v>
      </c>
      <c r="U31">
        <v>0.7</v>
      </c>
      <c r="V31">
        <v>0.87</v>
      </c>
      <c r="W31">
        <v>2.99</v>
      </c>
      <c r="X31">
        <v>0.4</v>
      </c>
      <c r="Y31">
        <v>1</v>
      </c>
      <c r="Z31">
        <v>10</v>
      </c>
    </row>
    <row r="32" spans="1:26" x14ac:dyDescent="0.3">
      <c r="A32">
        <v>30</v>
      </c>
      <c r="B32">
        <v>150</v>
      </c>
      <c r="C32" t="s">
        <v>26</v>
      </c>
      <c r="D32">
        <v>5.8021000000000003</v>
      </c>
      <c r="E32">
        <v>17.239999999999998</v>
      </c>
      <c r="F32">
        <v>13.13</v>
      </c>
      <c r="G32">
        <v>39.380000000000003</v>
      </c>
      <c r="H32">
        <v>0.48</v>
      </c>
      <c r="I32">
        <v>20</v>
      </c>
      <c r="J32">
        <v>312.69</v>
      </c>
      <c r="K32">
        <v>61.82</v>
      </c>
      <c r="L32">
        <v>8.5</v>
      </c>
      <c r="M32">
        <v>18</v>
      </c>
      <c r="N32">
        <v>92.37</v>
      </c>
      <c r="O32">
        <v>38799.089999999997</v>
      </c>
      <c r="P32">
        <v>224.02</v>
      </c>
      <c r="Q32">
        <v>988.12</v>
      </c>
      <c r="R32">
        <v>49.31</v>
      </c>
      <c r="S32">
        <v>35.43</v>
      </c>
      <c r="T32">
        <v>5867.64</v>
      </c>
      <c r="U32">
        <v>0.72</v>
      </c>
      <c r="V32">
        <v>0.87</v>
      </c>
      <c r="W32">
        <v>3</v>
      </c>
      <c r="X32">
        <v>0.37</v>
      </c>
      <c r="Y32">
        <v>1</v>
      </c>
      <c r="Z32">
        <v>10</v>
      </c>
    </row>
    <row r="33" spans="1:26" x14ac:dyDescent="0.3">
      <c r="A33">
        <v>31</v>
      </c>
      <c r="B33">
        <v>150</v>
      </c>
      <c r="C33" t="s">
        <v>26</v>
      </c>
      <c r="D33">
        <v>5.8037000000000001</v>
      </c>
      <c r="E33">
        <v>17.23</v>
      </c>
      <c r="F33">
        <v>13.12</v>
      </c>
      <c r="G33">
        <v>39.369999999999997</v>
      </c>
      <c r="H33">
        <v>0.5</v>
      </c>
      <c r="I33">
        <v>20</v>
      </c>
      <c r="J33">
        <v>313.24</v>
      </c>
      <c r="K33">
        <v>61.82</v>
      </c>
      <c r="L33">
        <v>8.75</v>
      </c>
      <c r="M33">
        <v>18</v>
      </c>
      <c r="N33">
        <v>92.67</v>
      </c>
      <c r="O33">
        <v>38866.959999999999</v>
      </c>
      <c r="P33">
        <v>223.18</v>
      </c>
      <c r="Q33">
        <v>988.24</v>
      </c>
      <c r="R33">
        <v>49.01</v>
      </c>
      <c r="S33">
        <v>35.43</v>
      </c>
      <c r="T33">
        <v>5717.27</v>
      </c>
      <c r="U33">
        <v>0.72</v>
      </c>
      <c r="V33">
        <v>0.87</v>
      </c>
      <c r="W33">
        <v>3</v>
      </c>
      <c r="X33">
        <v>0.37</v>
      </c>
      <c r="Y33">
        <v>1</v>
      </c>
      <c r="Z33">
        <v>10</v>
      </c>
    </row>
    <row r="34" spans="1:26" x14ac:dyDescent="0.3">
      <c r="A34">
        <v>32</v>
      </c>
      <c r="B34">
        <v>150</v>
      </c>
      <c r="C34" t="s">
        <v>26</v>
      </c>
      <c r="D34">
        <v>5.8276000000000003</v>
      </c>
      <c r="E34">
        <v>17.16</v>
      </c>
      <c r="F34">
        <v>13.11</v>
      </c>
      <c r="G34">
        <v>41.39</v>
      </c>
      <c r="H34">
        <v>0.51</v>
      </c>
      <c r="I34">
        <v>19</v>
      </c>
      <c r="J34">
        <v>313.79000000000002</v>
      </c>
      <c r="K34">
        <v>61.82</v>
      </c>
      <c r="L34">
        <v>9</v>
      </c>
      <c r="M34">
        <v>17</v>
      </c>
      <c r="N34">
        <v>92.97</v>
      </c>
      <c r="O34">
        <v>38934.97</v>
      </c>
      <c r="P34">
        <v>222.34</v>
      </c>
      <c r="Q34">
        <v>988.13</v>
      </c>
      <c r="R34">
        <v>48.61</v>
      </c>
      <c r="S34">
        <v>35.43</v>
      </c>
      <c r="T34">
        <v>5523.11</v>
      </c>
      <c r="U34">
        <v>0.73</v>
      </c>
      <c r="V34">
        <v>0.87</v>
      </c>
      <c r="W34">
        <v>3</v>
      </c>
      <c r="X34">
        <v>0.35</v>
      </c>
      <c r="Y34">
        <v>1</v>
      </c>
      <c r="Z34">
        <v>10</v>
      </c>
    </row>
    <row r="35" spans="1:26" x14ac:dyDescent="0.3">
      <c r="A35">
        <v>33</v>
      </c>
      <c r="B35">
        <v>150</v>
      </c>
      <c r="C35" t="s">
        <v>26</v>
      </c>
      <c r="D35">
        <v>5.8289999999999997</v>
      </c>
      <c r="E35">
        <v>17.16</v>
      </c>
      <c r="F35">
        <v>13.1</v>
      </c>
      <c r="G35">
        <v>41.38</v>
      </c>
      <c r="H35">
        <v>0.52</v>
      </c>
      <c r="I35">
        <v>19</v>
      </c>
      <c r="J35">
        <v>314.33999999999997</v>
      </c>
      <c r="K35">
        <v>61.82</v>
      </c>
      <c r="L35">
        <v>9.25</v>
      </c>
      <c r="M35">
        <v>17</v>
      </c>
      <c r="N35">
        <v>93.27</v>
      </c>
      <c r="O35">
        <v>39003.11</v>
      </c>
      <c r="P35">
        <v>221.22</v>
      </c>
      <c r="Q35">
        <v>988.08</v>
      </c>
      <c r="R35">
        <v>48.55</v>
      </c>
      <c r="S35">
        <v>35.43</v>
      </c>
      <c r="T35">
        <v>5492.88</v>
      </c>
      <c r="U35">
        <v>0.73</v>
      </c>
      <c r="V35">
        <v>0.87</v>
      </c>
      <c r="W35">
        <v>3</v>
      </c>
      <c r="X35">
        <v>0.35</v>
      </c>
      <c r="Y35">
        <v>1</v>
      </c>
      <c r="Z35">
        <v>10</v>
      </c>
    </row>
    <row r="36" spans="1:26" x14ac:dyDescent="0.3">
      <c r="A36">
        <v>34</v>
      </c>
      <c r="B36">
        <v>150</v>
      </c>
      <c r="C36" t="s">
        <v>26</v>
      </c>
      <c r="D36">
        <v>5.8526999999999996</v>
      </c>
      <c r="E36">
        <v>17.09</v>
      </c>
      <c r="F36">
        <v>13.09</v>
      </c>
      <c r="G36">
        <v>43.63</v>
      </c>
      <c r="H36">
        <v>0.54</v>
      </c>
      <c r="I36">
        <v>18</v>
      </c>
      <c r="J36">
        <v>314.89999999999998</v>
      </c>
      <c r="K36">
        <v>61.82</v>
      </c>
      <c r="L36">
        <v>9.5</v>
      </c>
      <c r="M36">
        <v>16</v>
      </c>
      <c r="N36">
        <v>93.57</v>
      </c>
      <c r="O36">
        <v>39071.379999999997</v>
      </c>
      <c r="P36">
        <v>221.09</v>
      </c>
      <c r="Q36">
        <v>988.08</v>
      </c>
      <c r="R36">
        <v>48.02</v>
      </c>
      <c r="S36">
        <v>35.43</v>
      </c>
      <c r="T36">
        <v>5232.83</v>
      </c>
      <c r="U36">
        <v>0.74</v>
      </c>
      <c r="V36">
        <v>0.87</v>
      </c>
      <c r="W36">
        <v>3</v>
      </c>
      <c r="X36">
        <v>0.34</v>
      </c>
      <c r="Y36">
        <v>1</v>
      </c>
      <c r="Z36">
        <v>10</v>
      </c>
    </row>
    <row r="37" spans="1:26" x14ac:dyDescent="0.3">
      <c r="A37">
        <v>35</v>
      </c>
      <c r="B37">
        <v>150</v>
      </c>
      <c r="C37" t="s">
        <v>26</v>
      </c>
      <c r="D37">
        <v>5.8537999999999997</v>
      </c>
      <c r="E37">
        <v>17.079999999999998</v>
      </c>
      <c r="F37">
        <v>13.09</v>
      </c>
      <c r="G37">
        <v>43.62</v>
      </c>
      <c r="H37">
        <v>0.55000000000000004</v>
      </c>
      <c r="I37">
        <v>18</v>
      </c>
      <c r="J37">
        <v>315.45</v>
      </c>
      <c r="K37">
        <v>61.82</v>
      </c>
      <c r="L37">
        <v>9.75</v>
      </c>
      <c r="M37">
        <v>16</v>
      </c>
      <c r="N37">
        <v>93.88</v>
      </c>
      <c r="O37">
        <v>39139.800000000003</v>
      </c>
      <c r="P37">
        <v>219.95</v>
      </c>
      <c r="Q37">
        <v>988.08</v>
      </c>
      <c r="R37">
        <v>48.05</v>
      </c>
      <c r="S37">
        <v>35.43</v>
      </c>
      <c r="T37">
        <v>5244.1</v>
      </c>
      <c r="U37">
        <v>0.74</v>
      </c>
      <c r="V37">
        <v>0.87</v>
      </c>
      <c r="W37">
        <v>2.99</v>
      </c>
      <c r="X37">
        <v>0.33</v>
      </c>
      <c r="Y37">
        <v>1</v>
      </c>
      <c r="Z37">
        <v>10</v>
      </c>
    </row>
    <row r="38" spans="1:26" x14ac:dyDescent="0.3">
      <c r="A38">
        <v>36</v>
      </c>
      <c r="B38">
        <v>150</v>
      </c>
      <c r="C38" t="s">
        <v>26</v>
      </c>
      <c r="D38">
        <v>5.8792999999999997</v>
      </c>
      <c r="E38">
        <v>17.010000000000002</v>
      </c>
      <c r="F38">
        <v>13.07</v>
      </c>
      <c r="G38">
        <v>46.12</v>
      </c>
      <c r="H38">
        <v>0.56000000000000005</v>
      </c>
      <c r="I38">
        <v>17</v>
      </c>
      <c r="J38">
        <v>316.01</v>
      </c>
      <c r="K38">
        <v>61.82</v>
      </c>
      <c r="L38">
        <v>10</v>
      </c>
      <c r="M38">
        <v>15</v>
      </c>
      <c r="N38">
        <v>94.18</v>
      </c>
      <c r="O38">
        <v>39208.35</v>
      </c>
      <c r="P38">
        <v>218.64</v>
      </c>
      <c r="Q38">
        <v>988.12</v>
      </c>
      <c r="R38">
        <v>47.41</v>
      </c>
      <c r="S38">
        <v>35.43</v>
      </c>
      <c r="T38">
        <v>4932.72</v>
      </c>
      <c r="U38">
        <v>0.75</v>
      </c>
      <c r="V38">
        <v>0.87</v>
      </c>
      <c r="W38">
        <v>2.99</v>
      </c>
      <c r="X38">
        <v>0.31</v>
      </c>
      <c r="Y38">
        <v>1</v>
      </c>
      <c r="Z38">
        <v>10</v>
      </c>
    </row>
    <row r="39" spans="1:26" x14ac:dyDescent="0.3">
      <c r="A39">
        <v>37</v>
      </c>
      <c r="B39">
        <v>150</v>
      </c>
      <c r="C39" t="s">
        <v>26</v>
      </c>
      <c r="D39">
        <v>5.8758999999999997</v>
      </c>
      <c r="E39">
        <v>17.02</v>
      </c>
      <c r="F39">
        <v>13.08</v>
      </c>
      <c r="G39">
        <v>46.15</v>
      </c>
      <c r="H39">
        <v>0.57999999999999996</v>
      </c>
      <c r="I39">
        <v>17</v>
      </c>
      <c r="J39">
        <v>316.56</v>
      </c>
      <c r="K39">
        <v>61.82</v>
      </c>
      <c r="L39">
        <v>10.25</v>
      </c>
      <c r="M39">
        <v>15</v>
      </c>
      <c r="N39">
        <v>94.49</v>
      </c>
      <c r="O39">
        <v>39277.040000000001</v>
      </c>
      <c r="P39">
        <v>218.6</v>
      </c>
      <c r="Q39">
        <v>988.13</v>
      </c>
      <c r="R39">
        <v>47.75</v>
      </c>
      <c r="S39">
        <v>35.43</v>
      </c>
      <c r="T39">
        <v>5099.9399999999996</v>
      </c>
      <c r="U39">
        <v>0.74</v>
      </c>
      <c r="V39">
        <v>0.87</v>
      </c>
      <c r="W39">
        <v>2.99</v>
      </c>
      <c r="X39">
        <v>0.32</v>
      </c>
      <c r="Y39">
        <v>1</v>
      </c>
      <c r="Z39">
        <v>10</v>
      </c>
    </row>
    <row r="40" spans="1:26" x14ac:dyDescent="0.3">
      <c r="A40">
        <v>38</v>
      </c>
      <c r="B40">
        <v>150</v>
      </c>
      <c r="C40" t="s">
        <v>26</v>
      </c>
      <c r="D40">
        <v>5.9074</v>
      </c>
      <c r="E40">
        <v>16.93</v>
      </c>
      <c r="F40">
        <v>13.04</v>
      </c>
      <c r="G40">
        <v>48.91</v>
      </c>
      <c r="H40">
        <v>0.59</v>
      </c>
      <c r="I40">
        <v>16</v>
      </c>
      <c r="J40">
        <v>317.12</v>
      </c>
      <c r="K40">
        <v>61.82</v>
      </c>
      <c r="L40">
        <v>10.5</v>
      </c>
      <c r="M40">
        <v>14</v>
      </c>
      <c r="N40">
        <v>94.8</v>
      </c>
      <c r="O40">
        <v>39345.870000000003</v>
      </c>
      <c r="P40">
        <v>217.57</v>
      </c>
      <c r="Q40">
        <v>988.13</v>
      </c>
      <c r="R40">
        <v>46.71</v>
      </c>
      <c r="S40">
        <v>35.43</v>
      </c>
      <c r="T40">
        <v>4586.51</v>
      </c>
      <c r="U40">
        <v>0.76</v>
      </c>
      <c r="V40">
        <v>0.87</v>
      </c>
      <c r="W40">
        <v>2.99</v>
      </c>
      <c r="X40">
        <v>0.28999999999999998</v>
      </c>
      <c r="Y40">
        <v>1</v>
      </c>
      <c r="Z40">
        <v>10</v>
      </c>
    </row>
    <row r="41" spans="1:26" x14ac:dyDescent="0.3">
      <c r="A41">
        <v>39</v>
      </c>
      <c r="B41">
        <v>150</v>
      </c>
      <c r="C41" t="s">
        <v>26</v>
      </c>
      <c r="D41">
        <v>5.9038000000000004</v>
      </c>
      <c r="E41">
        <v>16.940000000000001</v>
      </c>
      <c r="F41">
        <v>13.05</v>
      </c>
      <c r="G41">
        <v>48.95</v>
      </c>
      <c r="H41">
        <v>0.6</v>
      </c>
      <c r="I41">
        <v>16</v>
      </c>
      <c r="J41">
        <v>317.68</v>
      </c>
      <c r="K41">
        <v>61.82</v>
      </c>
      <c r="L41">
        <v>10.75</v>
      </c>
      <c r="M41">
        <v>14</v>
      </c>
      <c r="N41">
        <v>95.11</v>
      </c>
      <c r="O41">
        <v>39414.839999999997</v>
      </c>
      <c r="P41">
        <v>217.55</v>
      </c>
      <c r="Q41">
        <v>988.12</v>
      </c>
      <c r="R41">
        <v>46.99</v>
      </c>
      <c r="S41">
        <v>35.43</v>
      </c>
      <c r="T41">
        <v>4728.46</v>
      </c>
      <c r="U41">
        <v>0.75</v>
      </c>
      <c r="V41">
        <v>0.87</v>
      </c>
      <c r="W41">
        <v>2.99</v>
      </c>
      <c r="X41">
        <v>0.3</v>
      </c>
      <c r="Y41">
        <v>1</v>
      </c>
      <c r="Z41">
        <v>10</v>
      </c>
    </row>
    <row r="42" spans="1:26" x14ac:dyDescent="0.3">
      <c r="A42">
        <v>40</v>
      </c>
      <c r="B42">
        <v>150</v>
      </c>
      <c r="C42" t="s">
        <v>26</v>
      </c>
      <c r="D42">
        <v>5.9010999999999996</v>
      </c>
      <c r="E42">
        <v>16.95</v>
      </c>
      <c r="F42">
        <v>13.06</v>
      </c>
      <c r="G42">
        <v>48.98</v>
      </c>
      <c r="H42">
        <v>0.62</v>
      </c>
      <c r="I42">
        <v>16</v>
      </c>
      <c r="J42">
        <v>318.24</v>
      </c>
      <c r="K42">
        <v>61.82</v>
      </c>
      <c r="L42">
        <v>11</v>
      </c>
      <c r="M42">
        <v>14</v>
      </c>
      <c r="N42">
        <v>95.42</v>
      </c>
      <c r="O42">
        <v>39483.949999999997</v>
      </c>
      <c r="P42">
        <v>216.69</v>
      </c>
      <c r="Q42">
        <v>988.14</v>
      </c>
      <c r="R42">
        <v>47.25</v>
      </c>
      <c r="S42">
        <v>35.43</v>
      </c>
      <c r="T42">
        <v>4854.53</v>
      </c>
      <c r="U42">
        <v>0.75</v>
      </c>
      <c r="V42">
        <v>0.87</v>
      </c>
      <c r="W42">
        <v>2.99</v>
      </c>
      <c r="X42">
        <v>0.31</v>
      </c>
      <c r="Y42">
        <v>1</v>
      </c>
      <c r="Z42">
        <v>10</v>
      </c>
    </row>
    <row r="43" spans="1:26" x14ac:dyDescent="0.3">
      <c r="A43">
        <v>41</v>
      </c>
      <c r="B43">
        <v>150</v>
      </c>
      <c r="C43" t="s">
        <v>26</v>
      </c>
      <c r="D43">
        <v>5.9260000000000002</v>
      </c>
      <c r="E43">
        <v>16.87</v>
      </c>
      <c r="F43">
        <v>13.04</v>
      </c>
      <c r="G43">
        <v>52.18</v>
      </c>
      <c r="H43">
        <v>0.63</v>
      </c>
      <c r="I43">
        <v>15</v>
      </c>
      <c r="J43">
        <v>318.8</v>
      </c>
      <c r="K43">
        <v>61.82</v>
      </c>
      <c r="L43">
        <v>11.25</v>
      </c>
      <c r="M43">
        <v>13</v>
      </c>
      <c r="N43">
        <v>95.73</v>
      </c>
      <c r="O43">
        <v>39553.199999999997</v>
      </c>
      <c r="P43">
        <v>216.17</v>
      </c>
      <c r="Q43">
        <v>988.08</v>
      </c>
      <c r="R43">
        <v>46.72</v>
      </c>
      <c r="S43">
        <v>35.43</v>
      </c>
      <c r="T43">
        <v>4596.99</v>
      </c>
      <c r="U43">
        <v>0.76</v>
      </c>
      <c r="V43">
        <v>0.87</v>
      </c>
      <c r="W43">
        <v>2.99</v>
      </c>
      <c r="X43">
        <v>0.28999999999999998</v>
      </c>
      <c r="Y43">
        <v>1</v>
      </c>
      <c r="Z43">
        <v>10</v>
      </c>
    </row>
    <row r="44" spans="1:26" x14ac:dyDescent="0.3">
      <c r="A44">
        <v>42</v>
      </c>
      <c r="B44">
        <v>150</v>
      </c>
      <c r="C44" t="s">
        <v>26</v>
      </c>
      <c r="D44">
        <v>5.9314999999999998</v>
      </c>
      <c r="E44">
        <v>16.86</v>
      </c>
      <c r="F44">
        <v>13.03</v>
      </c>
      <c r="G44">
        <v>52.11</v>
      </c>
      <c r="H44">
        <v>0.64</v>
      </c>
      <c r="I44">
        <v>15</v>
      </c>
      <c r="J44">
        <v>319.36</v>
      </c>
      <c r="K44">
        <v>61.82</v>
      </c>
      <c r="L44">
        <v>11.5</v>
      </c>
      <c r="M44">
        <v>13</v>
      </c>
      <c r="N44">
        <v>96.04</v>
      </c>
      <c r="O44">
        <v>39622.589999999997</v>
      </c>
      <c r="P44">
        <v>215.28</v>
      </c>
      <c r="Q44">
        <v>988.08</v>
      </c>
      <c r="R44">
        <v>46.39</v>
      </c>
      <c r="S44">
        <v>35.43</v>
      </c>
      <c r="T44">
        <v>4432.71</v>
      </c>
      <c r="U44">
        <v>0.76</v>
      </c>
      <c r="V44">
        <v>0.87</v>
      </c>
      <c r="W44">
        <v>2.99</v>
      </c>
      <c r="X44">
        <v>0.28000000000000003</v>
      </c>
      <c r="Y44">
        <v>1</v>
      </c>
      <c r="Z44">
        <v>10</v>
      </c>
    </row>
    <row r="45" spans="1:26" x14ac:dyDescent="0.3">
      <c r="A45">
        <v>43</v>
      </c>
      <c r="B45">
        <v>150</v>
      </c>
      <c r="C45" t="s">
        <v>26</v>
      </c>
      <c r="D45">
        <v>5.9257</v>
      </c>
      <c r="E45">
        <v>16.88</v>
      </c>
      <c r="F45">
        <v>13.04</v>
      </c>
      <c r="G45">
        <v>52.18</v>
      </c>
      <c r="H45">
        <v>0.65</v>
      </c>
      <c r="I45">
        <v>15</v>
      </c>
      <c r="J45">
        <v>319.93</v>
      </c>
      <c r="K45">
        <v>61.82</v>
      </c>
      <c r="L45">
        <v>11.75</v>
      </c>
      <c r="M45">
        <v>13</v>
      </c>
      <c r="N45">
        <v>96.36</v>
      </c>
      <c r="O45">
        <v>39692.129999999997</v>
      </c>
      <c r="P45">
        <v>214.77</v>
      </c>
      <c r="Q45">
        <v>988.16</v>
      </c>
      <c r="R45">
        <v>46.73</v>
      </c>
      <c r="S45">
        <v>35.43</v>
      </c>
      <c r="T45">
        <v>4600.43</v>
      </c>
      <c r="U45">
        <v>0.76</v>
      </c>
      <c r="V45">
        <v>0.87</v>
      </c>
      <c r="W45">
        <v>2.99</v>
      </c>
      <c r="X45">
        <v>0.28999999999999998</v>
      </c>
      <c r="Y45">
        <v>1</v>
      </c>
      <c r="Z45">
        <v>10</v>
      </c>
    </row>
    <row r="46" spans="1:26" x14ac:dyDescent="0.3">
      <c r="A46">
        <v>44</v>
      </c>
      <c r="B46">
        <v>150</v>
      </c>
      <c r="C46" t="s">
        <v>26</v>
      </c>
      <c r="D46">
        <v>5.9595000000000002</v>
      </c>
      <c r="E46">
        <v>16.78</v>
      </c>
      <c r="F46">
        <v>13.01</v>
      </c>
      <c r="G46">
        <v>55.74</v>
      </c>
      <c r="H46">
        <v>0.67</v>
      </c>
      <c r="I46">
        <v>14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213.96</v>
      </c>
      <c r="Q46">
        <v>988.09</v>
      </c>
      <c r="R46">
        <v>45.55</v>
      </c>
      <c r="S46">
        <v>35.43</v>
      </c>
      <c r="T46">
        <v>4015.5</v>
      </c>
      <c r="U46">
        <v>0.78</v>
      </c>
      <c r="V46">
        <v>0.88</v>
      </c>
      <c r="W46">
        <v>2.99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150</v>
      </c>
      <c r="C47" t="s">
        <v>26</v>
      </c>
      <c r="D47">
        <v>5.9574999999999996</v>
      </c>
      <c r="E47">
        <v>16.79</v>
      </c>
      <c r="F47">
        <v>13.01</v>
      </c>
      <c r="G47">
        <v>55.76</v>
      </c>
      <c r="H47">
        <v>0.68</v>
      </c>
      <c r="I47">
        <v>14</v>
      </c>
      <c r="J47">
        <v>321.06</v>
      </c>
      <c r="K47">
        <v>61.82</v>
      </c>
      <c r="L47">
        <v>12.25</v>
      </c>
      <c r="M47">
        <v>12</v>
      </c>
      <c r="N47">
        <v>96.99</v>
      </c>
      <c r="O47">
        <v>39831.64</v>
      </c>
      <c r="P47">
        <v>213.72</v>
      </c>
      <c r="Q47">
        <v>988.11</v>
      </c>
      <c r="R47">
        <v>45.7</v>
      </c>
      <c r="S47">
        <v>35.43</v>
      </c>
      <c r="T47">
        <v>4090.82</v>
      </c>
      <c r="U47">
        <v>0.78</v>
      </c>
      <c r="V47">
        <v>0.88</v>
      </c>
      <c r="W47">
        <v>2.99</v>
      </c>
      <c r="X47">
        <v>0.26</v>
      </c>
      <c r="Y47">
        <v>1</v>
      </c>
      <c r="Z47">
        <v>10</v>
      </c>
    </row>
    <row r="48" spans="1:26" x14ac:dyDescent="0.3">
      <c r="A48">
        <v>46</v>
      </c>
      <c r="B48">
        <v>150</v>
      </c>
      <c r="C48" t="s">
        <v>26</v>
      </c>
      <c r="D48">
        <v>5.9608999999999996</v>
      </c>
      <c r="E48">
        <v>16.78</v>
      </c>
      <c r="F48">
        <v>13</v>
      </c>
      <c r="G48">
        <v>55.72</v>
      </c>
      <c r="H48">
        <v>0.69</v>
      </c>
      <c r="I48">
        <v>14</v>
      </c>
      <c r="J48">
        <v>321.63</v>
      </c>
      <c r="K48">
        <v>61.82</v>
      </c>
      <c r="L48">
        <v>12.5</v>
      </c>
      <c r="M48">
        <v>12</v>
      </c>
      <c r="N48">
        <v>97.31</v>
      </c>
      <c r="O48">
        <v>39901.61</v>
      </c>
      <c r="P48">
        <v>212.68</v>
      </c>
      <c r="Q48">
        <v>988.11</v>
      </c>
      <c r="R48">
        <v>45.39</v>
      </c>
      <c r="S48">
        <v>35.43</v>
      </c>
      <c r="T48">
        <v>3933.78</v>
      </c>
      <c r="U48">
        <v>0.78</v>
      </c>
      <c r="V48">
        <v>0.88</v>
      </c>
      <c r="W48">
        <v>2.99</v>
      </c>
      <c r="X48">
        <v>0.25</v>
      </c>
      <c r="Y48">
        <v>1</v>
      </c>
      <c r="Z48">
        <v>10</v>
      </c>
    </row>
    <row r="49" spans="1:26" x14ac:dyDescent="0.3">
      <c r="A49">
        <v>47</v>
      </c>
      <c r="B49">
        <v>150</v>
      </c>
      <c r="C49" t="s">
        <v>26</v>
      </c>
      <c r="D49">
        <v>5.9821999999999997</v>
      </c>
      <c r="E49">
        <v>16.72</v>
      </c>
      <c r="F49">
        <v>13</v>
      </c>
      <c r="G49">
        <v>59.99</v>
      </c>
      <c r="H49">
        <v>0.71</v>
      </c>
      <c r="I49">
        <v>13</v>
      </c>
      <c r="J49">
        <v>322.2</v>
      </c>
      <c r="K49">
        <v>61.82</v>
      </c>
      <c r="L49">
        <v>12.75</v>
      </c>
      <c r="M49">
        <v>11</v>
      </c>
      <c r="N49">
        <v>97.62</v>
      </c>
      <c r="O49">
        <v>39971.730000000003</v>
      </c>
      <c r="P49">
        <v>211.69</v>
      </c>
      <c r="Q49">
        <v>988.14</v>
      </c>
      <c r="R49">
        <v>45.25</v>
      </c>
      <c r="S49">
        <v>35.43</v>
      </c>
      <c r="T49">
        <v>3872.66</v>
      </c>
      <c r="U49">
        <v>0.78</v>
      </c>
      <c r="V49">
        <v>0.88</v>
      </c>
      <c r="W49">
        <v>2.99</v>
      </c>
      <c r="X49">
        <v>0.24</v>
      </c>
      <c r="Y49">
        <v>1</v>
      </c>
      <c r="Z49">
        <v>10</v>
      </c>
    </row>
    <row r="50" spans="1:26" x14ac:dyDescent="0.3">
      <c r="A50">
        <v>48</v>
      </c>
      <c r="B50">
        <v>150</v>
      </c>
      <c r="C50" t="s">
        <v>26</v>
      </c>
      <c r="D50">
        <v>5.9798999999999998</v>
      </c>
      <c r="E50">
        <v>16.72</v>
      </c>
      <c r="F50">
        <v>13</v>
      </c>
      <c r="G50">
        <v>60.02</v>
      </c>
      <c r="H50">
        <v>0.72</v>
      </c>
      <c r="I50">
        <v>13</v>
      </c>
      <c r="J50">
        <v>322.77</v>
      </c>
      <c r="K50">
        <v>61.82</v>
      </c>
      <c r="L50">
        <v>13</v>
      </c>
      <c r="M50">
        <v>11</v>
      </c>
      <c r="N50">
        <v>97.94</v>
      </c>
      <c r="O50">
        <v>40042</v>
      </c>
      <c r="P50">
        <v>211.44</v>
      </c>
      <c r="Q50">
        <v>988.11</v>
      </c>
      <c r="R50">
        <v>45.52</v>
      </c>
      <c r="S50">
        <v>35.43</v>
      </c>
      <c r="T50">
        <v>4004.01</v>
      </c>
      <c r="U50">
        <v>0.78</v>
      </c>
      <c r="V50">
        <v>0.88</v>
      </c>
      <c r="W50">
        <v>2.99</v>
      </c>
      <c r="X50">
        <v>0.25</v>
      </c>
      <c r="Y50">
        <v>1</v>
      </c>
      <c r="Z50">
        <v>10</v>
      </c>
    </row>
    <row r="51" spans="1:26" x14ac:dyDescent="0.3">
      <c r="A51">
        <v>49</v>
      </c>
      <c r="B51">
        <v>150</v>
      </c>
      <c r="C51" t="s">
        <v>26</v>
      </c>
      <c r="D51">
        <v>5.9824999999999999</v>
      </c>
      <c r="E51">
        <v>16.72</v>
      </c>
      <c r="F51">
        <v>13</v>
      </c>
      <c r="G51">
        <v>59.98</v>
      </c>
      <c r="H51">
        <v>0.73</v>
      </c>
      <c r="I51">
        <v>13</v>
      </c>
      <c r="J51">
        <v>323.33999999999997</v>
      </c>
      <c r="K51">
        <v>61.82</v>
      </c>
      <c r="L51">
        <v>13.25</v>
      </c>
      <c r="M51">
        <v>11</v>
      </c>
      <c r="N51">
        <v>98.27</v>
      </c>
      <c r="O51">
        <v>40112.54</v>
      </c>
      <c r="P51">
        <v>211.26</v>
      </c>
      <c r="Q51">
        <v>988.1</v>
      </c>
      <c r="R51">
        <v>45.29</v>
      </c>
      <c r="S51">
        <v>35.43</v>
      </c>
      <c r="T51">
        <v>3890.43</v>
      </c>
      <c r="U51">
        <v>0.78</v>
      </c>
      <c r="V51">
        <v>0.88</v>
      </c>
      <c r="W51">
        <v>2.99</v>
      </c>
      <c r="X51">
        <v>0.24</v>
      </c>
      <c r="Y51">
        <v>1</v>
      </c>
      <c r="Z51">
        <v>10</v>
      </c>
    </row>
    <row r="52" spans="1:26" x14ac:dyDescent="0.3">
      <c r="A52">
        <v>50</v>
      </c>
      <c r="B52">
        <v>150</v>
      </c>
      <c r="C52" t="s">
        <v>26</v>
      </c>
      <c r="D52">
        <v>5.9863999999999997</v>
      </c>
      <c r="E52">
        <v>16.7</v>
      </c>
      <c r="F52">
        <v>12.98</v>
      </c>
      <c r="G52">
        <v>59.93</v>
      </c>
      <c r="H52">
        <v>0.74</v>
      </c>
      <c r="I52">
        <v>13</v>
      </c>
      <c r="J52">
        <v>323.91000000000003</v>
      </c>
      <c r="K52">
        <v>61.82</v>
      </c>
      <c r="L52">
        <v>13.5</v>
      </c>
      <c r="M52">
        <v>11</v>
      </c>
      <c r="N52">
        <v>98.59</v>
      </c>
      <c r="O52">
        <v>40183.11</v>
      </c>
      <c r="P52">
        <v>209.72</v>
      </c>
      <c r="Q52">
        <v>988.11</v>
      </c>
      <c r="R52">
        <v>44.8</v>
      </c>
      <c r="S52">
        <v>35.43</v>
      </c>
      <c r="T52">
        <v>3647.19</v>
      </c>
      <c r="U52">
        <v>0.79</v>
      </c>
      <c r="V52">
        <v>0.88</v>
      </c>
      <c r="W52">
        <v>2.99</v>
      </c>
      <c r="X52">
        <v>0.23</v>
      </c>
      <c r="Y52">
        <v>1</v>
      </c>
      <c r="Z52">
        <v>10</v>
      </c>
    </row>
    <row r="53" spans="1:26" x14ac:dyDescent="0.3">
      <c r="A53">
        <v>51</v>
      </c>
      <c r="B53">
        <v>150</v>
      </c>
      <c r="C53" t="s">
        <v>26</v>
      </c>
      <c r="D53">
        <v>6.0122</v>
      </c>
      <c r="E53">
        <v>16.63</v>
      </c>
      <c r="F53">
        <v>12.97</v>
      </c>
      <c r="G53">
        <v>64.84</v>
      </c>
      <c r="H53">
        <v>0.76</v>
      </c>
      <c r="I53">
        <v>12</v>
      </c>
      <c r="J53">
        <v>324.48</v>
      </c>
      <c r="K53">
        <v>61.82</v>
      </c>
      <c r="L53">
        <v>13.75</v>
      </c>
      <c r="M53">
        <v>10</v>
      </c>
      <c r="N53">
        <v>98.91</v>
      </c>
      <c r="O53">
        <v>40253.839999999997</v>
      </c>
      <c r="P53">
        <v>208.84</v>
      </c>
      <c r="Q53">
        <v>988.14</v>
      </c>
      <c r="R53">
        <v>44.38</v>
      </c>
      <c r="S53">
        <v>35.43</v>
      </c>
      <c r="T53">
        <v>3440.31</v>
      </c>
      <c r="U53">
        <v>0.8</v>
      </c>
      <c r="V53">
        <v>0.88</v>
      </c>
      <c r="W53">
        <v>2.98</v>
      </c>
      <c r="X53">
        <v>0.21</v>
      </c>
      <c r="Y53">
        <v>1</v>
      </c>
      <c r="Z53">
        <v>10</v>
      </c>
    </row>
    <row r="54" spans="1:26" x14ac:dyDescent="0.3">
      <c r="A54">
        <v>52</v>
      </c>
      <c r="B54">
        <v>150</v>
      </c>
      <c r="C54" t="s">
        <v>26</v>
      </c>
      <c r="D54">
        <v>6.0124000000000004</v>
      </c>
      <c r="E54">
        <v>16.63</v>
      </c>
      <c r="F54">
        <v>12.97</v>
      </c>
      <c r="G54">
        <v>64.84</v>
      </c>
      <c r="H54">
        <v>0.77</v>
      </c>
      <c r="I54">
        <v>12</v>
      </c>
      <c r="J54">
        <v>325.06</v>
      </c>
      <c r="K54">
        <v>61.82</v>
      </c>
      <c r="L54">
        <v>14</v>
      </c>
      <c r="M54">
        <v>10</v>
      </c>
      <c r="N54">
        <v>99.24</v>
      </c>
      <c r="O54">
        <v>40324.71</v>
      </c>
      <c r="P54">
        <v>208.55</v>
      </c>
      <c r="Q54">
        <v>988.11</v>
      </c>
      <c r="R54">
        <v>44.44</v>
      </c>
      <c r="S54">
        <v>35.43</v>
      </c>
      <c r="T54">
        <v>3472.48</v>
      </c>
      <c r="U54">
        <v>0.8</v>
      </c>
      <c r="V54">
        <v>0.88</v>
      </c>
      <c r="W54">
        <v>2.98</v>
      </c>
      <c r="X54">
        <v>0.21</v>
      </c>
      <c r="Y54">
        <v>1</v>
      </c>
      <c r="Z54">
        <v>10</v>
      </c>
    </row>
    <row r="55" spans="1:26" x14ac:dyDescent="0.3">
      <c r="A55">
        <v>53</v>
      </c>
      <c r="B55">
        <v>150</v>
      </c>
      <c r="C55" t="s">
        <v>26</v>
      </c>
      <c r="D55">
        <v>6.0145999999999997</v>
      </c>
      <c r="E55">
        <v>16.63</v>
      </c>
      <c r="F55">
        <v>12.96</v>
      </c>
      <c r="G55">
        <v>64.81</v>
      </c>
      <c r="H55">
        <v>0.78</v>
      </c>
      <c r="I55">
        <v>12</v>
      </c>
      <c r="J55">
        <v>325.63</v>
      </c>
      <c r="K55">
        <v>61.82</v>
      </c>
      <c r="L55">
        <v>14.25</v>
      </c>
      <c r="M55">
        <v>10</v>
      </c>
      <c r="N55">
        <v>99.56</v>
      </c>
      <c r="O55">
        <v>40395.74</v>
      </c>
      <c r="P55">
        <v>208.19</v>
      </c>
      <c r="Q55">
        <v>988.09</v>
      </c>
      <c r="R55">
        <v>44.13</v>
      </c>
      <c r="S55">
        <v>35.43</v>
      </c>
      <c r="T55">
        <v>3316.98</v>
      </c>
      <c r="U55">
        <v>0.8</v>
      </c>
      <c r="V55">
        <v>0.88</v>
      </c>
      <c r="W55">
        <v>2.98</v>
      </c>
      <c r="X55">
        <v>0.21</v>
      </c>
      <c r="Y55">
        <v>1</v>
      </c>
      <c r="Z55">
        <v>10</v>
      </c>
    </row>
    <row r="56" spans="1:26" x14ac:dyDescent="0.3">
      <c r="A56">
        <v>54</v>
      </c>
      <c r="B56">
        <v>150</v>
      </c>
      <c r="C56" t="s">
        <v>26</v>
      </c>
      <c r="D56">
        <v>6.0138999999999996</v>
      </c>
      <c r="E56">
        <v>16.63</v>
      </c>
      <c r="F56">
        <v>12.96</v>
      </c>
      <c r="G56">
        <v>64.819999999999993</v>
      </c>
      <c r="H56">
        <v>0.79</v>
      </c>
      <c r="I56">
        <v>12</v>
      </c>
      <c r="J56">
        <v>326.20999999999998</v>
      </c>
      <c r="K56">
        <v>61.82</v>
      </c>
      <c r="L56">
        <v>14.5</v>
      </c>
      <c r="M56">
        <v>10</v>
      </c>
      <c r="N56">
        <v>99.89</v>
      </c>
      <c r="O56">
        <v>40466.92</v>
      </c>
      <c r="P56">
        <v>207.07</v>
      </c>
      <c r="Q56">
        <v>988.08</v>
      </c>
      <c r="R56">
        <v>44.39</v>
      </c>
      <c r="S56">
        <v>35.43</v>
      </c>
      <c r="T56">
        <v>3445.11</v>
      </c>
      <c r="U56">
        <v>0.8</v>
      </c>
      <c r="V56">
        <v>0.88</v>
      </c>
      <c r="W56">
        <v>2.98</v>
      </c>
      <c r="X56">
        <v>0.21</v>
      </c>
      <c r="Y56">
        <v>1</v>
      </c>
      <c r="Z56">
        <v>10</v>
      </c>
    </row>
    <row r="57" spans="1:26" x14ac:dyDescent="0.3">
      <c r="A57">
        <v>55</v>
      </c>
      <c r="B57">
        <v>150</v>
      </c>
      <c r="C57" t="s">
        <v>26</v>
      </c>
      <c r="D57">
        <v>6.0411000000000001</v>
      </c>
      <c r="E57">
        <v>16.55</v>
      </c>
      <c r="F57">
        <v>12.95</v>
      </c>
      <c r="G57">
        <v>70.61</v>
      </c>
      <c r="H57">
        <v>0.8</v>
      </c>
      <c r="I57">
        <v>11</v>
      </c>
      <c r="J57">
        <v>326.79000000000002</v>
      </c>
      <c r="K57">
        <v>61.82</v>
      </c>
      <c r="L57">
        <v>14.75</v>
      </c>
      <c r="M57">
        <v>9</v>
      </c>
      <c r="N57">
        <v>100.22</v>
      </c>
      <c r="O57">
        <v>40538.25</v>
      </c>
      <c r="P57">
        <v>206.09</v>
      </c>
      <c r="Q57">
        <v>988.12</v>
      </c>
      <c r="R57">
        <v>43.77</v>
      </c>
      <c r="S57">
        <v>35.43</v>
      </c>
      <c r="T57">
        <v>3142.56</v>
      </c>
      <c r="U57">
        <v>0.81</v>
      </c>
      <c r="V57">
        <v>0.88</v>
      </c>
      <c r="W57">
        <v>2.98</v>
      </c>
      <c r="X57">
        <v>0.19</v>
      </c>
      <c r="Y57">
        <v>1</v>
      </c>
      <c r="Z57">
        <v>10</v>
      </c>
    </row>
    <row r="58" spans="1:26" x14ac:dyDescent="0.3">
      <c r="A58">
        <v>56</v>
      </c>
      <c r="B58">
        <v>150</v>
      </c>
      <c r="C58" t="s">
        <v>26</v>
      </c>
      <c r="D58">
        <v>6.0345000000000004</v>
      </c>
      <c r="E58">
        <v>16.57</v>
      </c>
      <c r="F58">
        <v>12.96</v>
      </c>
      <c r="G58">
        <v>70.709999999999994</v>
      </c>
      <c r="H58">
        <v>0.82</v>
      </c>
      <c r="I58">
        <v>11</v>
      </c>
      <c r="J58">
        <v>327.37</v>
      </c>
      <c r="K58">
        <v>61.82</v>
      </c>
      <c r="L58">
        <v>15</v>
      </c>
      <c r="M58">
        <v>9</v>
      </c>
      <c r="N58">
        <v>100.55</v>
      </c>
      <c r="O58">
        <v>40609.74</v>
      </c>
      <c r="P58">
        <v>206.29</v>
      </c>
      <c r="Q58">
        <v>988.08</v>
      </c>
      <c r="R58">
        <v>44.2</v>
      </c>
      <c r="S58">
        <v>35.43</v>
      </c>
      <c r="T58">
        <v>3354.58</v>
      </c>
      <c r="U58">
        <v>0.8</v>
      </c>
      <c r="V58">
        <v>0.88</v>
      </c>
      <c r="W58">
        <v>2.99</v>
      </c>
      <c r="X58">
        <v>0.21</v>
      </c>
      <c r="Y58">
        <v>1</v>
      </c>
      <c r="Z58">
        <v>10</v>
      </c>
    </row>
    <row r="59" spans="1:26" x14ac:dyDescent="0.3">
      <c r="A59">
        <v>57</v>
      </c>
      <c r="B59">
        <v>150</v>
      </c>
      <c r="C59" t="s">
        <v>26</v>
      </c>
      <c r="D59">
        <v>6.0387000000000004</v>
      </c>
      <c r="E59">
        <v>16.559999999999999</v>
      </c>
      <c r="F59">
        <v>12.95</v>
      </c>
      <c r="G59">
        <v>70.64</v>
      </c>
      <c r="H59">
        <v>0.83</v>
      </c>
      <c r="I59">
        <v>11</v>
      </c>
      <c r="J59">
        <v>327.95</v>
      </c>
      <c r="K59">
        <v>61.82</v>
      </c>
      <c r="L59">
        <v>15.25</v>
      </c>
      <c r="M59">
        <v>9</v>
      </c>
      <c r="N59">
        <v>100.88</v>
      </c>
      <c r="O59">
        <v>40681.39</v>
      </c>
      <c r="P59">
        <v>205.79</v>
      </c>
      <c r="Q59">
        <v>988.09</v>
      </c>
      <c r="R59">
        <v>43.99</v>
      </c>
      <c r="S59">
        <v>35.43</v>
      </c>
      <c r="T59">
        <v>3252.45</v>
      </c>
      <c r="U59">
        <v>0.81</v>
      </c>
      <c r="V59">
        <v>0.88</v>
      </c>
      <c r="W59">
        <v>2.98</v>
      </c>
      <c r="X59">
        <v>0.2</v>
      </c>
      <c r="Y59">
        <v>1</v>
      </c>
      <c r="Z59">
        <v>10</v>
      </c>
    </row>
    <row r="60" spans="1:26" x14ac:dyDescent="0.3">
      <c r="A60">
        <v>58</v>
      </c>
      <c r="B60">
        <v>150</v>
      </c>
      <c r="C60" t="s">
        <v>26</v>
      </c>
      <c r="D60">
        <v>6.0374999999999996</v>
      </c>
      <c r="E60">
        <v>16.559999999999999</v>
      </c>
      <c r="F60">
        <v>12.95</v>
      </c>
      <c r="G60">
        <v>70.66</v>
      </c>
      <c r="H60">
        <v>0.84</v>
      </c>
      <c r="I60">
        <v>11</v>
      </c>
      <c r="J60">
        <v>328.53</v>
      </c>
      <c r="K60">
        <v>61.82</v>
      </c>
      <c r="L60">
        <v>15.5</v>
      </c>
      <c r="M60">
        <v>9</v>
      </c>
      <c r="N60">
        <v>101.21</v>
      </c>
      <c r="O60">
        <v>40753.199999999997</v>
      </c>
      <c r="P60">
        <v>205.58</v>
      </c>
      <c r="Q60">
        <v>988.12</v>
      </c>
      <c r="R60">
        <v>43.97</v>
      </c>
      <c r="S60">
        <v>35.43</v>
      </c>
      <c r="T60">
        <v>3240.97</v>
      </c>
      <c r="U60">
        <v>0.81</v>
      </c>
      <c r="V60">
        <v>0.88</v>
      </c>
      <c r="W60">
        <v>2.98</v>
      </c>
      <c r="X60">
        <v>0.2</v>
      </c>
      <c r="Y60">
        <v>1</v>
      </c>
      <c r="Z60">
        <v>10</v>
      </c>
    </row>
    <row r="61" spans="1:26" x14ac:dyDescent="0.3">
      <c r="A61">
        <v>59</v>
      </c>
      <c r="B61">
        <v>150</v>
      </c>
      <c r="C61" t="s">
        <v>26</v>
      </c>
      <c r="D61">
        <v>6.0395000000000003</v>
      </c>
      <c r="E61">
        <v>16.559999999999999</v>
      </c>
      <c r="F61">
        <v>12.95</v>
      </c>
      <c r="G61">
        <v>70.63</v>
      </c>
      <c r="H61">
        <v>0.85</v>
      </c>
      <c r="I61">
        <v>11</v>
      </c>
      <c r="J61">
        <v>329.12</v>
      </c>
      <c r="K61">
        <v>61.82</v>
      </c>
      <c r="L61">
        <v>15.75</v>
      </c>
      <c r="M61">
        <v>9</v>
      </c>
      <c r="N61">
        <v>101.54</v>
      </c>
      <c r="O61">
        <v>40825.160000000003</v>
      </c>
      <c r="P61">
        <v>204.3</v>
      </c>
      <c r="Q61">
        <v>988.08</v>
      </c>
      <c r="R61">
        <v>43.8</v>
      </c>
      <c r="S61">
        <v>35.43</v>
      </c>
      <c r="T61">
        <v>3156.9</v>
      </c>
      <c r="U61">
        <v>0.81</v>
      </c>
      <c r="V61">
        <v>0.88</v>
      </c>
      <c r="W61">
        <v>2.98</v>
      </c>
      <c r="X61">
        <v>0.2</v>
      </c>
      <c r="Y61">
        <v>1</v>
      </c>
      <c r="Z61">
        <v>10</v>
      </c>
    </row>
    <row r="62" spans="1:26" x14ac:dyDescent="0.3">
      <c r="A62">
        <v>60</v>
      </c>
      <c r="B62">
        <v>150</v>
      </c>
      <c r="C62" t="s">
        <v>26</v>
      </c>
      <c r="D62">
        <v>6.0395000000000003</v>
      </c>
      <c r="E62">
        <v>16.559999999999999</v>
      </c>
      <c r="F62">
        <v>12.95</v>
      </c>
      <c r="G62">
        <v>70.63</v>
      </c>
      <c r="H62">
        <v>0.86</v>
      </c>
      <c r="I62">
        <v>11</v>
      </c>
      <c r="J62">
        <v>329.7</v>
      </c>
      <c r="K62">
        <v>61.82</v>
      </c>
      <c r="L62">
        <v>16</v>
      </c>
      <c r="M62">
        <v>9</v>
      </c>
      <c r="N62">
        <v>101.88</v>
      </c>
      <c r="O62">
        <v>40897.29</v>
      </c>
      <c r="P62">
        <v>202.89</v>
      </c>
      <c r="Q62">
        <v>988.11</v>
      </c>
      <c r="R62">
        <v>43.83</v>
      </c>
      <c r="S62">
        <v>35.43</v>
      </c>
      <c r="T62">
        <v>3171.29</v>
      </c>
      <c r="U62">
        <v>0.81</v>
      </c>
      <c r="V62">
        <v>0.88</v>
      </c>
      <c r="W62">
        <v>2.98</v>
      </c>
      <c r="X62">
        <v>0.2</v>
      </c>
      <c r="Y62">
        <v>1</v>
      </c>
      <c r="Z62">
        <v>10</v>
      </c>
    </row>
    <row r="63" spans="1:26" x14ac:dyDescent="0.3">
      <c r="A63">
        <v>61</v>
      </c>
      <c r="B63">
        <v>150</v>
      </c>
      <c r="C63" t="s">
        <v>26</v>
      </c>
      <c r="D63">
        <v>6.0675999999999997</v>
      </c>
      <c r="E63">
        <v>16.48</v>
      </c>
      <c r="F63">
        <v>12.93</v>
      </c>
      <c r="G63">
        <v>77.569999999999993</v>
      </c>
      <c r="H63">
        <v>0.88</v>
      </c>
      <c r="I63">
        <v>10</v>
      </c>
      <c r="J63">
        <v>330.29</v>
      </c>
      <c r="K63">
        <v>61.82</v>
      </c>
      <c r="L63">
        <v>16.25</v>
      </c>
      <c r="M63">
        <v>8</v>
      </c>
      <c r="N63">
        <v>102.21</v>
      </c>
      <c r="O63">
        <v>40969.57</v>
      </c>
      <c r="P63">
        <v>202.03</v>
      </c>
      <c r="Q63">
        <v>988.08</v>
      </c>
      <c r="R63">
        <v>43.08</v>
      </c>
      <c r="S63">
        <v>35.43</v>
      </c>
      <c r="T63">
        <v>2799.98</v>
      </c>
      <c r="U63">
        <v>0.82</v>
      </c>
      <c r="V63">
        <v>0.88</v>
      </c>
      <c r="W63">
        <v>2.98</v>
      </c>
      <c r="X63">
        <v>0.17</v>
      </c>
      <c r="Y63">
        <v>1</v>
      </c>
      <c r="Z63">
        <v>10</v>
      </c>
    </row>
    <row r="64" spans="1:26" x14ac:dyDescent="0.3">
      <c r="A64">
        <v>62</v>
      </c>
      <c r="B64">
        <v>150</v>
      </c>
      <c r="C64" t="s">
        <v>26</v>
      </c>
      <c r="D64">
        <v>6.0667</v>
      </c>
      <c r="E64">
        <v>16.48</v>
      </c>
      <c r="F64">
        <v>12.93</v>
      </c>
      <c r="G64">
        <v>77.58</v>
      </c>
      <c r="H64">
        <v>0.89</v>
      </c>
      <c r="I64">
        <v>10</v>
      </c>
      <c r="J64">
        <v>330.87</v>
      </c>
      <c r="K64">
        <v>61.82</v>
      </c>
      <c r="L64">
        <v>16.5</v>
      </c>
      <c r="M64">
        <v>8</v>
      </c>
      <c r="N64">
        <v>102.55</v>
      </c>
      <c r="O64">
        <v>41042.019999999997</v>
      </c>
      <c r="P64">
        <v>201.3</v>
      </c>
      <c r="Q64">
        <v>988.12</v>
      </c>
      <c r="R64">
        <v>43.32</v>
      </c>
      <c r="S64">
        <v>35.43</v>
      </c>
      <c r="T64">
        <v>2923.35</v>
      </c>
      <c r="U64">
        <v>0.82</v>
      </c>
      <c r="V64">
        <v>0.88</v>
      </c>
      <c r="W64">
        <v>2.98</v>
      </c>
      <c r="X64">
        <v>0.18</v>
      </c>
      <c r="Y64">
        <v>1</v>
      </c>
      <c r="Z64">
        <v>10</v>
      </c>
    </row>
    <row r="65" spans="1:26" x14ac:dyDescent="0.3">
      <c r="A65">
        <v>63</v>
      </c>
      <c r="B65">
        <v>150</v>
      </c>
      <c r="C65" t="s">
        <v>26</v>
      </c>
      <c r="D65">
        <v>6.0671999999999997</v>
      </c>
      <c r="E65">
        <v>16.48</v>
      </c>
      <c r="F65">
        <v>12.93</v>
      </c>
      <c r="G65">
        <v>77.58</v>
      </c>
      <c r="H65">
        <v>0.9</v>
      </c>
      <c r="I65">
        <v>10</v>
      </c>
      <c r="J65">
        <v>331.46</v>
      </c>
      <c r="K65">
        <v>61.82</v>
      </c>
      <c r="L65">
        <v>16.75</v>
      </c>
      <c r="M65">
        <v>8</v>
      </c>
      <c r="N65">
        <v>102.89</v>
      </c>
      <c r="O65">
        <v>41114.629999999997</v>
      </c>
      <c r="P65">
        <v>200.57</v>
      </c>
      <c r="Q65">
        <v>988.08</v>
      </c>
      <c r="R65">
        <v>43.2</v>
      </c>
      <c r="S65">
        <v>35.43</v>
      </c>
      <c r="T65">
        <v>2862.67</v>
      </c>
      <c r="U65">
        <v>0.82</v>
      </c>
      <c r="V65">
        <v>0.88</v>
      </c>
      <c r="W65">
        <v>2.98</v>
      </c>
      <c r="X65">
        <v>0.18</v>
      </c>
      <c r="Y65">
        <v>1</v>
      </c>
      <c r="Z65">
        <v>10</v>
      </c>
    </row>
    <row r="66" spans="1:26" x14ac:dyDescent="0.3">
      <c r="A66">
        <v>64</v>
      </c>
      <c r="B66">
        <v>150</v>
      </c>
      <c r="C66" t="s">
        <v>26</v>
      </c>
      <c r="D66">
        <v>6.0666000000000002</v>
      </c>
      <c r="E66">
        <v>16.48</v>
      </c>
      <c r="F66">
        <v>12.93</v>
      </c>
      <c r="G66">
        <v>77.59</v>
      </c>
      <c r="H66">
        <v>0.91</v>
      </c>
      <c r="I66">
        <v>10</v>
      </c>
      <c r="J66">
        <v>332.05</v>
      </c>
      <c r="K66">
        <v>61.82</v>
      </c>
      <c r="L66">
        <v>17</v>
      </c>
      <c r="M66">
        <v>8</v>
      </c>
      <c r="N66">
        <v>103.23</v>
      </c>
      <c r="O66">
        <v>41187.410000000003</v>
      </c>
      <c r="P66">
        <v>200.71</v>
      </c>
      <c r="Q66">
        <v>988.1</v>
      </c>
      <c r="R66">
        <v>43.16</v>
      </c>
      <c r="S66">
        <v>35.43</v>
      </c>
      <c r="T66">
        <v>2842.71</v>
      </c>
      <c r="U66">
        <v>0.82</v>
      </c>
      <c r="V66">
        <v>0.88</v>
      </c>
      <c r="W66">
        <v>2.98</v>
      </c>
      <c r="X66">
        <v>0.18</v>
      </c>
      <c r="Y66">
        <v>1</v>
      </c>
      <c r="Z66">
        <v>10</v>
      </c>
    </row>
    <row r="67" spans="1:26" x14ac:dyDescent="0.3">
      <c r="A67">
        <v>65</v>
      </c>
      <c r="B67">
        <v>150</v>
      </c>
      <c r="C67" t="s">
        <v>26</v>
      </c>
      <c r="D67">
        <v>6.0663</v>
      </c>
      <c r="E67">
        <v>16.48</v>
      </c>
      <c r="F67">
        <v>12.93</v>
      </c>
      <c r="G67">
        <v>77.59</v>
      </c>
      <c r="H67">
        <v>0.92</v>
      </c>
      <c r="I67">
        <v>10</v>
      </c>
      <c r="J67">
        <v>332.64</v>
      </c>
      <c r="K67">
        <v>61.82</v>
      </c>
      <c r="L67">
        <v>17.25</v>
      </c>
      <c r="M67">
        <v>8</v>
      </c>
      <c r="N67">
        <v>103.57</v>
      </c>
      <c r="O67">
        <v>41260.35</v>
      </c>
      <c r="P67">
        <v>200.19</v>
      </c>
      <c r="Q67">
        <v>988.08</v>
      </c>
      <c r="R67">
        <v>43.26</v>
      </c>
      <c r="S67">
        <v>35.43</v>
      </c>
      <c r="T67">
        <v>2891.21</v>
      </c>
      <c r="U67">
        <v>0.82</v>
      </c>
      <c r="V67">
        <v>0.88</v>
      </c>
      <c r="W67">
        <v>2.98</v>
      </c>
      <c r="X67">
        <v>0.18</v>
      </c>
      <c r="Y67">
        <v>1</v>
      </c>
      <c r="Z67">
        <v>10</v>
      </c>
    </row>
    <row r="68" spans="1:26" x14ac:dyDescent="0.3">
      <c r="A68">
        <v>66</v>
      </c>
      <c r="B68">
        <v>150</v>
      </c>
      <c r="C68" t="s">
        <v>26</v>
      </c>
      <c r="D68">
        <v>6.0682</v>
      </c>
      <c r="E68">
        <v>16.48</v>
      </c>
      <c r="F68">
        <v>12.93</v>
      </c>
      <c r="G68">
        <v>77.56</v>
      </c>
      <c r="H68">
        <v>0.94</v>
      </c>
      <c r="I68">
        <v>10</v>
      </c>
      <c r="J68">
        <v>333.24</v>
      </c>
      <c r="K68">
        <v>61.82</v>
      </c>
      <c r="L68">
        <v>17.5</v>
      </c>
      <c r="M68">
        <v>8</v>
      </c>
      <c r="N68">
        <v>103.92</v>
      </c>
      <c r="O68">
        <v>41333.46</v>
      </c>
      <c r="P68">
        <v>199.37</v>
      </c>
      <c r="Q68">
        <v>988.08</v>
      </c>
      <c r="R68">
        <v>43.2</v>
      </c>
      <c r="S68">
        <v>35.43</v>
      </c>
      <c r="T68">
        <v>2860.4</v>
      </c>
      <c r="U68">
        <v>0.82</v>
      </c>
      <c r="V68">
        <v>0.88</v>
      </c>
      <c r="W68">
        <v>2.98</v>
      </c>
      <c r="X68">
        <v>0.17</v>
      </c>
      <c r="Y68">
        <v>1</v>
      </c>
      <c r="Z68">
        <v>10</v>
      </c>
    </row>
    <row r="69" spans="1:26" x14ac:dyDescent="0.3">
      <c r="A69">
        <v>67</v>
      </c>
      <c r="B69">
        <v>150</v>
      </c>
      <c r="C69" t="s">
        <v>26</v>
      </c>
      <c r="D69">
        <v>6.0918999999999999</v>
      </c>
      <c r="E69">
        <v>16.420000000000002</v>
      </c>
      <c r="F69">
        <v>12.92</v>
      </c>
      <c r="G69">
        <v>86.12</v>
      </c>
      <c r="H69">
        <v>0.95</v>
      </c>
      <c r="I69">
        <v>9</v>
      </c>
      <c r="J69">
        <v>333.83</v>
      </c>
      <c r="K69">
        <v>61.82</v>
      </c>
      <c r="L69">
        <v>17.75</v>
      </c>
      <c r="M69">
        <v>7</v>
      </c>
      <c r="N69">
        <v>104.26</v>
      </c>
      <c r="O69">
        <v>41406.86</v>
      </c>
      <c r="P69">
        <v>197.66</v>
      </c>
      <c r="Q69">
        <v>988.09</v>
      </c>
      <c r="R69">
        <v>42.78</v>
      </c>
      <c r="S69">
        <v>35.43</v>
      </c>
      <c r="T69">
        <v>2656.69</v>
      </c>
      <c r="U69">
        <v>0.83</v>
      </c>
      <c r="V69">
        <v>0.88</v>
      </c>
      <c r="W69">
        <v>2.98</v>
      </c>
      <c r="X69">
        <v>0.16</v>
      </c>
      <c r="Y69">
        <v>1</v>
      </c>
      <c r="Z69">
        <v>10</v>
      </c>
    </row>
    <row r="70" spans="1:26" x14ac:dyDescent="0.3">
      <c r="A70">
        <v>68</v>
      </c>
      <c r="B70">
        <v>150</v>
      </c>
      <c r="C70" t="s">
        <v>26</v>
      </c>
      <c r="D70">
        <v>6.093</v>
      </c>
      <c r="E70">
        <v>16.41</v>
      </c>
      <c r="F70">
        <v>12.91</v>
      </c>
      <c r="G70">
        <v>86.1</v>
      </c>
      <c r="H70">
        <v>0.96</v>
      </c>
      <c r="I70">
        <v>9</v>
      </c>
      <c r="J70">
        <v>334.43</v>
      </c>
      <c r="K70">
        <v>61.82</v>
      </c>
      <c r="L70">
        <v>18</v>
      </c>
      <c r="M70">
        <v>7</v>
      </c>
      <c r="N70">
        <v>104.61</v>
      </c>
      <c r="O70">
        <v>41480.31</v>
      </c>
      <c r="P70">
        <v>197.82</v>
      </c>
      <c r="Q70">
        <v>988.08</v>
      </c>
      <c r="R70">
        <v>42.76</v>
      </c>
      <c r="S70">
        <v>35.43</v>
      </c>
      <c r="T70">
        <v>2644.49</v>
      </c>
      <c r="U70">
        <v>0.83</v>
      </c>
      <c r="V70">
        <v>0.88</v>
      </c>
      <c r="W70">
        <v>2.98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150</v>
      </c>
      <c r="C71" t="s">
        <v>26</v>
      </c>
      <c r="D71">
        <v>6.0929000000000002</v>
      </c>
      <c r="E71">
        <v>16.41</v>
      </c>
      <c r="F71">
        <v>12.92</v>
      </c>
      <c r="G71">
        <v>86.1</v>
      </c>
      <c r="H71">
        <v>0.97</v>
      </c>
      <c r="I71">
        <v>9</v>
      </c>
      <c r="J71">
        <v>335.02</v>
      </c>
      <c r="K71">
        <v>61.82</v>
      </c>
      <c r="L71">
        <v>18.25</v>
      </c>
      <c r="M71">
        <v>7</v>
      </c>
      <c r="N71">
        <v>104.95</v>
      </c>
      <c r="O71">
        <v>41553.93</v>
      </c>
      <c r="P71">
        <v>197.98</v>
      </c>
      <c r="Q71">
        <v>988.21</v>
      </c>
      <c r="R71">
        <v>42.77</v>
      </c>
      <c r="S71">
        <v>35.43</v>
      </c>
      <c r="T71">
        <v>2651.4</v>
      </c>
      <c r="U71">
        <v>0.83</v>
      </c>
      <c r="V71">
        <v>0.88</v>
      </c>
      <c r="W71">
        <v>2.98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150</v>
      </c>
      <c r="C72" t="s">
        <v>26</v>
      </c>
      <c r="D72">
        <v>6.0922999999999998</v>
      </c>
      <c r="E72">
        <v>16.41</v>
      </c>
      <c r="F72">
        <v>12.92</v>
      </c>
      <c r="G72">
        <v>86.11</v>
      </c>
      <c r="H72">
        <v>0.98</v>
      </c>
      <c r="I72">
        <v>9</v>
      </c>
      <c r="J72">
        <v>335.62</v>
      </c>
      <c r="K72">
        <v>61.82</v>
      </c>
      <c r="L72">
        <v>18.5</v>
      </c>
      <c r="M72">
        <v>7</v>
      </c>
      <c r="N72">
        <v>105.3</v>
      </c>
      <c r="O72">
        <v>41627.72</v>
      </c>
      <c r="P72">
        <v>198.01</v>
      </c>
      <c r="Q72">
        <v>988.17</v>
      </c>
      <c r="R72">
        <v>42.83</v>
      </c>
      <c r="S72">
        <v>35.43</v>
      </c>
      <c r="T72">
        <v>2683.28</v>
      </c>
      <c r="U72">
        <v>0.83</v>
      </c>
      <c r="V72">
        <v>0.88</v>
      </c>
      <c r="W72">
        <v>2.98</v>
      </c>
      <c r="X72">
        <v>0.16</v>
      </c>
      <c r="Y72">
        <v>1</v>
      </c>
      <c r="Z72">
        <v>10</v>
      </c>
    </row>
    <row r="73" spans="1:26" x14ac:dyDescent="0.3">
      <c r="A73">
        <v>71</v>
      </c>
      <c r="B73">
        <v>150</v>
      </c>
      <c r="C73" t="s">
        <v>26</v>
      </c>
      <c r="D73">
        <v>6.0941999999999998</v>
      </c>
      <c r="E73">
        <v>16.41</v>
      </c>
      <c r="F73">
        <v>12.91</v>
      </c>
      <c r="G73">
        <v>86.08</v>
      </c>
      <c r="H73">
        <v>0.99</v>
      </c>
      <c r="I73">
        <v>9</v>
      </c>
      <c r="J73">
        <v>336.22</v>
      </c>
      <c r="K73">
        <v>61.82</v>
      </c>
      <c r="L73">
        <v>18.75</v>
      </c>
      <c r="M73">
        <v>7</v>
      </c>
      <c r="N73">
        <v>105.65</v>
      </c>
      <c r="O73">
        <v>41701.68</v>
      </c>
      <c r="P73">
        <v>197.36</v>
      </c>
      <c r="Q73">
        <v>988.12</v>
      </c>
      <c r="R73">
        <v>42.77</v>
      </c>
      <c r="S73">
        <v>35.43</v>
      </c>
      <c r="T73">
        <v>2648.98</v>
      </c>
      <c r="U73">
        <v>0.83</v>
      </c>
      <c r="V73">
        <v>0.88</v>
      </c>
      <c r="W73">
        <v>2.98</v>
      </c>
      <c r="X73">
        <v>0.16</v>
      </c>
      <c r="Y73">
        <v>1</v>
      </c>
      <c r="Z73">
        <v>10</v>
      </c>
    </row>
    <row r="74" spans="1:26" x14ac:dyDescent="0.3">
      <c r="A74">
        <v>72</v>
      </c>
      <c r="B74">
        <v>150</v>
      </c>
      <c r="C74" t="s">
        <v>26</v>
      </c>
      <c r="D74">
        <v>6.0960000000000001</v>
      </c>
      <c r="E74">
        <v>16.399999999999999</v>
      </c>
      <c r="F74">
        <v>12.91</v>
      </c>
      <c r="G74">
        <v>86.05</v>
      </c>
      <c r="H74">
        <v>1.01</v>
      </c>
      <c r="I74">
        <v>9</v>
      </c>
      <c r="J74">
        <v>336.82</v>
      </c>
      <c r="K74">
        <v>61.82</v>
      </c>
      <c r="L74">
        <v>19</v>
      </c>
      <c r="M74">
        <v>7</v>
      </c>
      <c r="N74">
        <v>106</v>
      </c>
      <c r="O74">
        <v>41775.82</v>
      </c>
      <c r="P74">
        <v>196.54</v>
      </c>
      <c r="Q74">
        <v>988.08</v>
      </c>
      <c r="R74">
        <v>42.53</v>
      </c>
      <c r="S74">
        <v>35.43</v>
      </c>
      <c r="T74">
        <v>2530.85</v>
      </c>
      <c r="U74">
        <v>0.83</v>
      </c>
      <c r="V74">
        <v>0.88</v>
      </c>
      <c r="W74">
        <v>2.98</v>
      </c>
      <c r="X74">
        <v>0.15</v>
      </c>
      <c r="Y74">
        <v>1</v>
      </c>
      <c r="Z74">
        <v>10</v>
      </c>
    </row>
    <row r="75" spans="1:26" x14ac:dyDescent="0.3">
      <c r="A75">
        <v>73</v>
      </c>
      <c r="B75">
        <v>150</v>
      </c>
      <c r="C75" t="s">
        <v>26</v>
      </c>
      <c r="D75">
        <v>6.0933000000000002</v>
      </c>
      <c r="E75">
        <v>16.41</v>
      </c>
      <c r="F75">
        <v>12.91</v>
      </c>
      <c r="G75">
        <v>86.09</v>
      </c>
      <c r="H75">
        <v>1.02</v>
      </c>
      <c r="I75">
        <v>9</v>
      </c>
      <c r="J75">
        <v>337.43</v>
      </c>
      <c r="K75">
        <v>61.82</v>
      </c>
      <c r="L75">
        <v>19.25</v>
      </c>
      <c r="M75">
        <v>7</v>
      </c>
      <c r="N75">
        <v>106.35</v>
      </c>
      <c r="O75">
        <v>41850.129999999997</v>
      </c>
      <c r="P75">
        <v>194.82</v>
      </c>
      <c r="Q75">
        <v>988.21</v>
      </c>
      <c r="R75">
        <v>42.74</v>
      </c>
      <c r="S75">
        <v>35.43</v>
      </c>
      <c r="T75">
        <v>2633.85</v>
      </c>
      <c r="U75">
        <v>0.83</v>
      </c>
      <c r="V75">
        <v>0.88</v>
      </c>
      <c r="W75">
        <v>2.98</v>
      </c>
      <c r="X75">
        <v>0.16</v>
      </c>
      <c r="Y75">
        <v>1</v>
      </c>
      <c r="Z75">
        <v>10</v>
      </c>
    </row>
    <row r="76" spans="1:26" x14ac:dyDescent="0.3">
      <c r="A76">
        <v>74</v>
      </c>
      <c r="B76">
        <v>150</v>
      </c>
      <c r="C76" t="s">
        <v>26</v>
      </c>
      <c r="D76">
        <v>6.0930999999999997</v>
      </c>
      <c r="E76">
        <v>16.41</v>
      </c>
      <c r="F76">
        <v>12.91</v>
      </c>
      <c r="G76">
        <v>86.1</v>
      </c>
      <c r="H76">
        <v>1.03</v>
      </c>
      <c r="I76">
        <v>9</v>
      </c>
      <c r="J76">
        <v>338.03</v>
      </c>
      <c r="K76">
        <v>61.82</v>
      </c>
      <c r="L76">
        <v>19.5</v>
      </c>
      <c r="M76">
        <v>7</v>
      </c>
      <c r="N76">
        <v>106.71</v>
      </c>
      <c r="O76">
        <v>41924.620000000003</v>
      </c>
      <c r="P76">
        <v>193.78</v>
      </c>
      <c r="Q76">
        <v>988.09</v>
      </c>
      <c r="R76">
        <v>42.81</v>
      </c>
      <c r="S76">
        <v>35.43</v>
      </c>
      <c r="T76">
        <v>2670.2</v>
      </c>
      <c r="U76">
        <v>0.83</v>
      </c>
      <c r="V76">
        <v>0.88</v>
      </c>
      <c r="W76">
        <v>2.98</v>
      </c>
      <c r="X76">
        <v>0.16</v>
      </c>
      <c r="Y76">
        <v>1</v>
      </c>
      <c r="Z76">
        <v>10</v>
      </c>
    </row>
    <row r="77" spans="1:26" x14ac:dyDescent="0.3">
      <c r="A77">
        <v>75</v>
      </c>
      <c r="B77">
        <v>150</v>
      </c>
      <c r="C77" t="s">
        <v>26</v>
      </c>
      <c r="D77">
        <v>6.1208</v>
      </c>
      <c r="E77">
        <v>16.34</v>
      </c>
      <c r="F77">
        <v>12.9</v>
      </c>
      <c r="G77">
        <v>96.72</v>
      </c>
      <c r="H77">
        <v>1.04</v>
      </c>
      <c r="I77">
        <v>8</v>
      </c>
      <c r="J77">
        <v>338.63</v>
      </c>
      <c r="K77">
        <v>61.82</v>
      </c>
      <c r="L77">
        <v>19.75</v>
      </c>
      <c r="M77">
        <v>4</v>
      </c>
      <c r="N77">
        <v>107.06</v>
      </c>
      <c r="O77">
        <v>41999.28</v>
      </c>
      <c r="P77">
        <v>192.34</v>
      </c>
      <c r="Q77">
        <v>988.09</v>
      </c>
      <c r="R77">
        <v>42.19</v>
      </c>
      <c r="S77">
        <v>35.43</v>
      </c>
      <c r="T77">
        <v>2364.75</v>
      </c>
      <c r="U77">
        <v>0.84</v>
      </c>
      <c r="V77">
        <v>0.88</v>
      </c>
      <c r="W77">
        <v>2.98</v>
      </c>
      <c r="X77">
        <v>0.14000000000000001</v>
      </c>
      <c r="Y77">
        <v>1</v>
      </c>
      <c r="Z77">
        <v>10</v>
      </c>
    </row>
    <row r="78" spans="1:26" x14ac:dyDescent="0.3">
      <c r="A78">
        <v>76</v>
      </c>
      <c r="B78">
        <v>150</v>
      </c>
      <c r="C78" t="s">
        <v>26</v>
      </c>
      <c r="D78">
        <v>6.12</v>
      </c>
      <c r="E78">
        <v>16.34</v>
      </c>
      <c r="F78">
        <v>12.9</v>
      </c>
      <c r="G78">
        <v>96.74</v>
      </c>
      <c r="H78">
        <v>1.05</v>
      </c>
      <c r="I78">
        <v>8</v>
      </c>
      <c r="J78">
        <v>339.24</v>
      </c>
      <c r="K78">
        <v>61.82</v>
      </c>
      <c r="L78">
        <v>20</v>
      </c>
      <c r="M78">
        <v>4</v>
      </c>
      <c r="N78">
        <v>107.42</v>
      </c>
      <c r="O78">
        <v>42074.12</v>
      </c>
      <c r="P78">
        <v>192.58</v>
      </c>
      <c r="Q78">
        <v>988.08</v>
      </c>
      <c r="R78">
        <v>42.21</v>
      </c>
      <c r="S78">
        <v>35.43</v>
      </c>
      <c r="T78">
        <v>2378.33</v>
      </c>
      <c r="U78">
        <v>0.84</v>
      </c>
      <c r="V78">
        <v>0.88</v>
      </c>
      <c r="W78">
        <v>2.98</v>
      </c>
      <c r="X78">
        <v>0.14000000000000001</v>
      </c>
      <c r="Y78">
        <v>1</v>
      </c>
      <c r="Z78">
        <v>10</v>
      </c>
    </row>
    <row r="79" spans="1:26" x14ac:dyDescent="0.3">
      <c r="A79">
        <v>77</v>
      </c>
      <c r="B79">
        <v>150</v>
      </c>
      <c r="C79" t="s">
        <v>26</v>
      </c>
      <c r="D79">
        <v>6.1230000000000002</v>
      </c>
      <c r="E79">
        <v>16.329999999999998</v>
      </c>
      <c r="F79">
        <v>12.89</v>
      </c>
      <c r="G79">
        <v>96.68</v>
      </c>
      <c r="H79">
        <v>1.06</v>
      </c>
      <c r="I79">
        <v>8</v>
      </c>
      <c r="J79">
        <v>339.85</v>
      </c>
      <c r="K79">
        <v>61.82</v>
      </c>
      <c r="L79">
        <v>20.25</v>
      </c>
      <c r="M79">
        <v>3</v>
      </c>
      <c r="N79">
        <v>107.78</v>
      </c>
      <c r="O79">
        <v>42149.15</v>
      </c>
      <c r="P79">
        <v>192.61</v>
      </c>
      <c r="Q79">
        <v>988.13</v>
      </c>
      <c r="R79">
        <v>41.98</v>
      </c>
      <c r="S79">
        <v>35.43</v>
      </c>
      <c r="T79">
        <v>2262.67</v>
      </c>
      <c r="U79">
        <v>0.84</v>
      </c>
      <c r="V79">
        <v>0.88</v>
      </c>
      <c r="W79">
        <v>2.98</v>
      </c>
      <c r="X79">
        <v>0.14000000000000001</v>
      </c>
      <c r="Y79">
        <v>1</v>
      </c>
      <c r="Z79">
        <v>10</v>
      </c>
    </row>
    <row r="80" spans="1:26" x14ac:dyDescent="0.3">
      <c r="A80">
        <v>78</v>
      </c>
      <c r="B80">
        <v>150</v>
      </c>
      <c r="C80" t="s">
        <v>26</v>
      </c>
      <c r="D80">
        <v>6.1200999999999999</v>
      </c>
      <c r="E80">
        <v>16.34</v>
      </c>
      <c r="F80">
        <v>12.9</v>
      </c>
      <c r="G80">
        <v>96.74</v>
      </c>
      <c r="H80">
        <v>1.07</v>
      </c>
      <c r="I80">
        <v>8</v>
      </c>
      <c r="J80">
        <v>340.46</v>
      </c>
      <c r="K80">
        <v>61.82</v>
      </c>
      <c r="L80">
        <v>20.5</v>
      </c>
      <c r="M80">
        <v>3</v>
      </c>
      <c r="N80">
        <v>108.14</v>
      </c>
      <c r="O80">
        <v>42224.35</v>
      </c>
      <c r="P80">
        <v>193.12</v>
      </c>
      <c r="Q80">
        <v>988.13</v>
      </c>
      <c r="R80">
        <v>42.16</v>
      </c>
      <c r="S80">
        <v>35.43</v>
      </c>
      <c r="T80">
        <v>2351.66</v>
      </c>
      <c r="U80">
        <v>0.84</v>
      </c>
      <c r="V80">
        <v>0.88</v>
      </c>
      <c r="W80">
        <v>2.98</v>
      </c>
      <c r="X80">
        <v>0.14000000000000001</v>
      </c>
      <c r="Y80">
        <v>1</v>
      </c>
      <c r="Z80">
        <v>10</v>
      </c>
    </row>
    <row r="81" spans="1:26" x14ac:dyDescent="0.3">
      <c r="A81">
        <v>79</v>
      </c>
      <c r="B81">
        <v>150</v>
      </c>
      <c r="C81" t="s">
        <v>26</v>
      </c>
      <c r="D81">
        <v>6.1204000000000001</v>
      </c>
      <c r="E81">
        <v>16.34</v>
      </c>
      <c r="F81">
        <v>12.9</v>
      </c>
      <c r="G81">
        <v>96.73</v>
      </c>
      <c r="H81">
        <v>1.08</v>
      </c>
      <c r="I81">
        <v>8</v>
      </c>
      <c r="J81">
        <v>341.07</v>
      </c>
      <c r="K81">
        <v>61.82</v>
      </c>
      <c r="L81">
        <v>20.75</v>
      </c>
      <c r="M81">
        <v>2</v>
      </c>
      <c r="N81">
        <v>108.5</v>
      </c>
      <c r="O81">
        <v>42299.74</v>
      </c>
      <c r="P81">
        <v>193.13</v>
      </c>
      <c r="Q81">
        <v>988.13</v>
      </c>
      <c r="R81">
        <v>42.12</v>
      </c>
      <c r="S81">
        <v>35.43</v>
      </c>
      <c r="T81">
        <v>2330.0100000000002</v>
      </c>
      <c r="U81">
        <v>0.84</v>
      </c>
      <c r="V81">
        <v>0.88</v>
      </c>
      <c r="W81">
        <v>2.98</v>
      </c>
      <c r="X81">
        <v>0.14000000000000001</v>
      </c>
      <c r="Y81">
        <v>1</v>
      </c>
      <c r="Z81">
        <v>10</v>
      </c>
    </row>
    <row r="82" spans="1:26" x14ac:dyDescent="0.3">
      <c r="A82">
        <v>80</v>
      </c>
      <c r="B82">
        <v>150</v>
      </c>
      <c r="C82" t="s">
        <v>26</v>
      </c>
      <c r="D82">
        <v>6.1212</v>
      </c>
      <c r="E82">
        <v>16.34</v>
      </c>
      <c r="F82">
        <v>12.89</v>
      </c>
      <c r="G82">
        <v>96.71</v>
      </c>
      <c r="H82">
        <v>1.1000000000000001</v>
      </c>
      <c r="I82">
        <v>8</v>
      </c>
      <c r="J82">
        <v>341.68</v>
      </c>
      <c r="K82">
        <v>61.82</v>
      </c>
      <c r="L82">
        <v>21</v>
      </c>
      <c r="M82">
        <v>1</v>
      </c>
      <c r="N82">
        <v>108.86</v>
      </c>
      <c r="O82">
        <v>42375.31</v>
      </c>
      <c r="P82">
        <v>193.3</v>
      </c>
      <c r="Q82">
        <v>988.14</v>
      </c>
      <c r="R82">
        <v>42.05</v>
      </c>
      <c r="S82">
        <v>35.43</v>
      </c>
      <c r="T82">
        <v>2297.6999999999998</v>
      </c>
      <c r="U82">
        <v>0.84</v>
      </c>
      <c r="V82">
        <v>0.88</v>
      </c>
      <c r="W82">
        <v>2.98</v>
      </c>
      <c r="X82">
        <v>0.14000000000000001</v>
      </c>
      <c r="Y82">
        <v>1</v>
      </c>
      <c r="Z82">
        <v>10</v>
      </c>
    </row>
    <row r="83" spans="1:26" x14ac:dyDescent="0.3">
      <c r="A83">
        <v>81</v>
      </c>
      <c r="B83">
        <v>150</v>
      </c>
      <c r="C83" t="s">
        <v>26</v>
      </c>
      <c r="D83">
        <v>6.1219000000000001</v>
      </c>
      <c r="E83">
        <v>16.329999999999998</v>
      </c>
      <c r="F83">
        <v>12.89</v>
      </c>
      <c r="G83">
        <v>96.7</v>
      </c>
      <c r="H83">
        <v>1.1100000000000001</v>
      </c>
      <c r="I83">
        <v>8</v>
      </c>
      <c r="J83">
        <v>342.3</v>
      </c>
      <c r="K83">
        <v>61.82</v>
      </c>
      <c r="L83">
        <v>21.25</v>
      </c>
      <c r="M83">
        <v>1</v>
      </c>
      <c r="N83">
        <v>109.23</v>
      </c>
      <c r="O83">
        <v>42451.07</v>
      </c>
      <c r="P83">
        <v>193.42</v>
      </c>
      <c r="Q83">
        <v>988.19</v>
      </c>
      <c r="R83">
        <v>41.89</v>
      </c>
      <c r="S83">
        <v>35.43</v>
      </c>
      <c r="T83">
        <v>2214.34</v>
      </c>
      <c r="U83">
        <v>0.85</v>
      </c>
      <c r="V83">
        <v>0.88</v>
      </c>
      <c r="W83">
        <v>2.98</v>
      </c>
      <c r="X83">
        <v>0.14000000000000001</v>
      </c>
      <c r="Y83">
        <v>1</v>
      </c>
      <c r="Z83">
        <v>10</v>
      </c>
    </row>
    <row r="84" spans="1:26" x14ac:dyDescent="0.3">
      <c r="A84">
        <v>82</v>
      </c>
      <c r="B84">
        <v>150</v>
      </c>
      <c r="C84" t="s">
        <v>26</v>
      </c>
      <c r="D84">
        <v>6.1220999999999997</v>
      </c>
      <c r="E84">
        <v>16.329999999999998</v>
      </c>
      <c r="F84">
        <v>12.89</v>
      </c>
      <c r="G84">
        <v>96.69</v>
      </c>
      <c r="H84">
        <v>1.1200000000000001</v>
      </c>
      <c r="I84">
        <v>8</v>
      </c>
      <c r="J84">
        <v>342.91</v>
      </c>
      <c r="K84">
        <v>61.82</v>
      </c>
      <c r="L84">
        <v>21.5</v>
      </c>
      <c r="M84">
        <v>1</v>
      </c>
      <c r="N84">
        <v>109.59</v>
      </c>
      <c r="O84">
        <v>42527.02</v>
      </c>
      <c r="P84">
        <v>193.64</v>
      </c>
      <c r="Q84">
        <v>988.13</v>
      </c>
      <c r="R84">
        <v>42.01</v>
      </c>
      <c r="S84">
        <v>35.43</v>
      </c>
      <c r="T84">
        <v>2277.27</v>
      </c>
      <c r="U84">
        <v>0.84</v>
      </c>
      <c r="V84">
        <v>0.88</v>
      </c>
      <c r="W84">
        <v>2.98</v>
      </c>
      <c r="X84">
        <v>0.14000000000000001</v>
      </c>
      <c r="Y84">
        <v>1</v>
      </c>
      <c r="Z84">
        <v>10</v>
      </c>
    </row>
    <row r="85" spans="1:26" x14ac:dyDescent="0.3">
      <c r="A85">
        <v>83</v>
      </c>
      <c r="B85">
        <v>150</v>
      </c>
      <c r="C85" t="s">
        <v>26</v>
      </c>
      <c r="D85">
        <v>6.1220999999999997</v>
      </c>
      <c r="E85">
        <v>16.329999999999998</v>
      </c>
      <c r="F85">
        <v>12.89</v>
      </c>
      <c r="G85">
        <v>96.69</v>
      </c>
      <c r="H85">
        <v>1.1299999999999999</v>
      </c>
      <c r="I85">
        <v>8</v>
      </c>
      <c r="J85">
        <v>343.53</v>
      </c>
      <c r="K85">
        <v>61.82</v>
      </c>
      <c r="L85">
        <v>21.75</v>
      </c>
      <c r="M85">
        <v>0</v>
      </c>
      <c r="N85">
        <v>109.96</v>
      </c>
      <c r="O85">
        <v>42603.15</v>
      </c>
      <c r="P85">
        <v>193.85</v>
      </c>
      <c r="Q85">
        <v>988.17</v>
      </c>
      <c r="R85">
        <v>41.83</v>
      </c>
      <c r="S85">
        <v>35.43</v>
      </c>
      <c r="T85">
        <v>2187.9699999999998</v>
      </c>
      <c r="U85">
        <v>0.85</v>
      </c>
      <c r="V85">
        <v>0.88</v>
      </c>
      <c r="W85">
        <v>2.98</v>
      </c>
      <c r="X85">
        <v>0.14000000000000001</v>
      </c>
      <c r="Y85">
        <v>1</v>
      </c>
      <c r="Z8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ilha11"/>
  <dimension ref="A1:Z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</v>
      </c>
      <c r="C2" t="s">
        <v>26</v>
      </c>
      <c r="D2">
        <v>5.6848000000000001</v>
      </c>
      <c r="E2">
        <v>17.59</v>
      </c>
      <c r="F2">
        <v>14.83</v>
      </c>
      <c r="G2">
        <v>8.9</v>
      </c>
      <c r="H2">
        <v>0.64</v>
      </c>
      <c r="I2">
        <v>100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43.34</v>
      </c>
      <c r="Q2">
        <v>988.81</v>
      </c>
      <c r="R2">
        <v>98.39</v>
      </c>
      <c r="S2">
        <v>35.43</v>
      </c>
      <c r="T2">
        <v>30006.06</v>
      </c>
      <c r="U2">
        <v>0.36</v>
      </c>
      <c r="V2">
        <v>0.77</v>
      </c>
      <c r="W2">
        <v>3.25</v>
      </c>
      <c r="X2">
        <v>2.08</v>
      </c>
      <c r="Y2">
        <v>1</v>
      </c>
      <c r="Z2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ilha12"/>
  <dimension ref="A1:Z1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45</v>
      </c>
      <c r="C2" t="s">
        <v>26</v>
      </c>
      <c r="D2">
        <v>5.4166999999999996</v>
      </c>
      <c r="E2">
        <v>18.46</v>
      </c>
      <c r="F2">
        <v>14.6</v>
      </c>
      <c r="G2">
        <v>9.6300000000000008</v>
      </c>
      <c r="H2">
        <v>0.18</v>
      </c>
      <c r="I2">
        <v>91</v>
      </c>
      <c r="J2">
        <v>98.71</v>
      </c>
      <c r="K2">
        <v>39.72</v>
      </c>
      <c r="L2">
        <v>1</v>
      </c>
      <c r="M2">
        <v>89</v>
      </c>
      <c r="N2">
        <v>12.99</v>
      </c>
      <c r="O2">
        <v>12407.75</v>
      </c>
      <c r="P2">
        <v>125.54</v>
      </c>
      <c r="Q2">
        <v>988.3</v>
      </c>
      <c r="R2">
        <v>94.92</v>
      </c>
      <c r="S2">
        <v>35.43</v>
      </c>
      <c r="T2">
        <v>28316.02</v>
      </c>
      <c r="U2">
        <v>0.37</v>
      </c>
      <c r="V2">
        <v>0.78</v>
      </c>
      <c r="W2">
        <v>3.12</v>
      </c>
      <c r="X2">
        <v>1.85</v>
      </c>
      <c r="Y2">
        <v>1</v>
      </c>
      <c r="Z2">
        <v>10</v>
      </c>
    </row>
    <row r="3" spans="1:26" x14ac:dyDescent="0.3">
      <c r="A3">
        <v>1</v>
      </c>
      <c r="B3">
        <v>45</v>
      </c>
      <c r="C3" t="s">
        <v>26</v>
      </c>
      <c r="D3">
        <v>5.6933999999999996</v>
      </c>
      <c r="E3">
        <v>17.559999999999999</v>
      </c>
      <c r="F3">
        <v>14.14</v>
      </c>
      <c r="G3">
        <v>12.12</v>
      </c>
      <c r="H3">
        <v>0.22</v>
      </c>
      <c r="I3">
        <v>70</v>
      </c>
      <c r="J3">
        <v>99.02</v>
      </c>
      <c r="K3">
        <v>39.72</v>
      </c>
      <c r="L3">
        <v>1.25</v>
      </c>
      <c r="M3">
        <v>68</v>
      </c>
      <c r="N3">
        <v>13.05</v>
      </c>
      <c r="O3">
        <v>12446.14</v>
      </c>
      <c r="P3">
        <v>119.29</v>
      </c>
      <c r="Q3">
        <v>988.36</v>
      </c>
      <c r="R3">
        <v>80.91</v>
      </c>
      <c r="S3">
        <v>35.43</v>
      </c>
      <c r="T3">
        <v>21413.759999999998</v>
      </c>
      <c r="U3">
        <v>0.44</v>
      </c>
      <c r="V3">
        <v>0.81</v>
      </c>
      <c r="W3">
        <v>3.07</v>
      </c>
      <c r="X3">
        <v>1.38</v>
      </c>
      <c r="Y3">
        <v>1</v>
      </c>
      <c r="Z3">
        <v>10</v>
      </c>
    </row>
    <row r="4" spans="1:26" x14ac:dyDescent="0.3">
      <c r="A4">
        <v>2</v>
      </c>
      <c r="B4">
        <v>45</v>
      </c>
      <c r="C4" t="s">
        <v>26</v>
      </c>
      <c r="D4">
        <v>5.8803000000000001</v>
      </c>
      <c r="E4">
        <v>17.010000000000002</v>
      </c>
      <c r="F4">
        <v>13.87</v>
      </c>
      <c r="G4">
        <v>14.86</v>
      </c>
      <c r="H4">
        <v>0.27</v>
      </c>
      <c r="I4">
        <v>56</v>
      </c>
      <c r="J4">
        <v>99.33</v>
      </c>
      <c r="K4">
        <v>39.72</v>
      </c>
      <c r="L4">
        <v>1.5</v>
      </c>
      <c r="M4">
        <v>54</v>
      </c>
      <c r="N4">
        <v>13.11</v>
      </c>
      <c r="O4">
        <v>12484.55</v>
      </c>
      <c r="P4">
        <v>114.56</v>
      </c>
      <c r="Q4">
        <v>988.37</v>
      </c>
      <c r="R4">
        <v>72.22</v>
      </c>
      <c r="S4">
        <v>35.43</v>
      </c>
      <c r="T4">
        <v>17142.38</v>
      </c>
      <c r="U4">
        <v>0.49</v>
      </c>
      <c r="V4">
        <v>0.82</v>
      </c>
      <c r="W4">
        <v>3.06</v>
      </c>
      <c r="X4">
        <v>1.1100000000000001</v>
      </c>
      <c r="Y4">
        <v>1</v>
      </c>
      <c r="Z4">
        <v>10</v>
      </c>
    </row>
    <row r="5" spans="1:26" x14ac:dyDescent="0.3">
      <c r="A5">
        <v>3</v>
      </c>
      <c r="B5">
        <v>45</v>
      </c>
      <c r="C5" t="s">
        <v>26</v>
      </c>
      <c r="D5">
        <v>6.0105000000000004</v>
      </c>
      <c r="E5">
        <v>16.64</v>
      </c>
      <c r="F5">
        <v>13.68</v>
      </c>
      <c r="G5">
        <v>17.47</v>
      </c>
      <c r="H5">
        <v>0.31</v>
      </c>
      <c r="I5">
        <v>47</v>
      </c>
      <c r="J5">
        <v>99.64</v>
      </c>
      <c r="K5">
        <v>39.72</v>
      </c>
      <c r="L5">
        <v>1.75</v>
      </c>
      <c r="M5">
        <v>45</v>
      </c>
      <c r="N5">
        <v>13.18</v>
      </c>
      <c r="O5">
        <v>12522.99</v>
      </c>
      <c r="P5">
        <v>110.85</v>
      </c>
      <c r="Q5">
        <v>988.14</v>
      </c>
      <c r="R5">
        <v>66.650000000000006</v>
      </c>
      <c r="S5">
        <v>35.43</v>
      </c>
      <c r="T5">
        <v>14399.68</v>
      </c>
      <c r="U5">
        <v>0.53</v>
      </c>
      <c r="V5">
        <v>0.83</v>
      </c>
      <c r="W5">
        <v>3.04</v>
      </c>
      <c r="X5">
        <v>0.93</v>
      </c>
      <c r="Y5">
        <v>1</v>
      </c>
      <c r="Z5">
        <v>10</v>
      </c>
    </row>
    <row r="6" spans="1:26" x14ac:dyDescent="0.3">
      <c r="A6">
        <v>4</v>
      </c>
      <c r="B6">
        <v>45</v>
      </c>
      <c r="C6" t="s">
        <v>26</v>
      </c>
      <c r="D6">
        <v>6.1166</v>
      </c>
      <c r="E6">
        <v>16.350000000000001</v>
      </c>
      <c r="F6">
        <v>13.54</v>
      </c>
      <c r="G6">
        <v>20.309999999999999</v>
      </c>
      <c r="H6">
        <v>0.35</v>
      </c>
      <c r="I6">
        <v>40</v>
      </c>
      <c r="J6">
        <v>99.95</v>
      </c>
      <c r="K6">
        <v>39.72</v>
      </c>
      <c r="L6">
        <v>2</v>
      </c>
      <c r="M6">
        <v>38</v>
      </c>
      <c r="N6">
        <v>13.24</v>
      </c>
      <c r="O6">
        <v>12561.45</v>
      </c>
      <c r="P6">
        <v>107.39</v>
      </c>
      <c r="Q6">
        <v>988.25</v>
      </c>
      <c r="R6">
        <v>61.92</v>
      </c>
      <c r="S6">
        <v>35.43</v>
      </c>
      <c r="T6">
        <v>12068.74</v>
      </c>
      <c r="U6">
        <v>0.56999999999999995</v>
      </c>
      <c r="V6">
        <v>0.84</v>
      </c>
      <c r="W6">
        <v>3.04</v>
      </c>
      <c r="X6">
        <v>0.78</v>
      </c>
      <c r="Y6">
        <v>1</v>
      </c>
      <c r="Z6">
        <v>10</v>
      </c>
    </row>
    <row r="7" spans="1:26" x14ac:dyDescent="0.3">
      <c r="A7">
        <v>5</v>
      </c>
      <c r="B7">
        <v>45</v>
      </c>
      <c r="C7" t="s">
        <v>26</v>
      </c>
      <c r="D7">
        <v>6.1893000000000002</v>
      </c>
      <c r="E7">
        <v>16.16</v>
      </c>
      <c r="F7">
        <v>13.45</v>
      </c>
      <c r="G7">
        <v>23.06</v>
      </c>
      <c r="H7">
        <v>0.39</v>
      </c>
      <c r="I7">
        <v>35</v>
      </c>
      <c r="J7">
        <v>100.27</v>
      </c>
      <c r="K7">
        <v>39.72</v>
      </c>
      <c r="L7">
        <v>2.25</v>
      </c>
      <c r="M7">
        <v>33</v>
      </c>
      <c r="N7">
        <v>13.3</v>
      </c>
      <c r="O7">
        <v>12599.94</v>
      </c>
      <c r="P7">
        <v>104.17</v>
      </c>
      <c r="Q7">
        <v>988.2</v>
      </c>
      <c r="R7">
        <v>59.29</v>
      </c>
      <c r="S7">
        <v>35.43</v>
      </c>
      <c r="T7">
        <v>10783.19</v>
      </c>
      <c r="U7">
        <v>0.6</v>
      </c>
      <c r="V7">
        <v>0.85</v>
      </c>
      <c r="W7">
        <v>3.02</v>
      </c>
      <c r="X7">
        <v>0.69</v>
      </c>
      <c r="Y7">
        <v>1</v>
      </c>
      <c r="Z7">
        <v>10</v>
      </c>
    </row>
    <row r="8" spans="1:26" x14ac:dyDescent="0.3">
      <c r="A8">
        <v>6</v>
      </c>
      <c r="B8">
        <v>45</v>
      </c>
      <c r="C8" t="s">
        <v>26</v>
      </c>
      <c r="D8">
        <v>6.2786999999999997</v>
      </c>
      <c r="E8">
        <v>15.93</v>
      </c>
      <c r="F8">
        <v>13.32</v>
      </c>
      <c r="G8">
        <v>26.64</v>
      </c>
      <c r="H8">
        <v>0.44</v>
      </c>
      <c r="I8">
        <v>30</v>
      </c>
      <c r="J8">
        <v>100.58</v>
      </c>
      <c r="K8">
        <v>39.72</v>
      </c>
      <c r="L8">
        <v>2.5</v>
      </c>
      <c r="M8">
        <v>28</v>
      </c>
      <c r="N8">
        <v>13.36</v>
      </c>
      <c r="O8">
        <v>12638.45</v>
      </c>
      <c r="P8">
        <v>100.69</v>
      </c>
      <c r="Q8">
        <v>988.14</v>
      </c>
      <c r="R8">
        <v>55.71</v>
      </c>
      <c r="S8">
        <v>35.43</v>
      </c>
      <c r="T8">
        <v>9014.56</v>
      </c>
      <c r="U8">
        <v>0.64</v>
      </c>
      <c r="V8">
        <v>0.86</v>
      </c>
      <c r="W8">
        <v>3</v>
      </c>
      <c r="X8">
        <v>0.56999999999999995</v>
      </c>
      <c r="Y8">
        <v>1</v>
      </c>
      <c r="Z8">
        <v>10</v>
      </c>
    </row>
    <row r="9" spans="1:26" x14ac:dyDescent="0.3">
      <c r="A9">
        <v>7</v>
      </c>
      <c r="B9">
        <v>45</v>
      </c>
      <c r="C9" t="s">
        <v>26</v>
      </c>
      <c r="D9">
        <v>6.3238000000000003</v>
      </c>
      <c r="E9">
        <v>15.81</v>
      </c>
      <c r="F9">
        <v>13.27</v>
      </c>
      <c r="G9">
        <v>29.49</v>
      </c>
      <c r="H9">
        <v>0.48</v>
      </c>
      <c r="I9">
        <v>27</v>
      </c>
      <c r="J9">
        <v>100.89</v>
      </c>
      <c r="K9">
        <v>39.72</v>
      </c>
      <c r="L9">
        <v>2.75</v>
      </c>
      <c r="M9">
        <v>22</v>
      </c>
      <c r="N9">
        <v>13.42</v>
      </c>
      <c r="O9">
        <v>12676.98</v>
      </c>
      <c r="P9">
        <v>97.65</v>
      </c>
      <c r="Q9">
        <v>988.19</v>
      </c>
      <c r="R9">
        <v>53.63</v>
      </c>
      <c r="S9">
        <v>35.43</v>
      </c>
      <c r="T9">
        <v>7992.01</v>
      </c>
      <c r="U9">
        <v>0.66</v>
      </c>
      <c r="V9">
        <v>0.86</v>
      </c>
      <c r="W9">
        <v>3.01</v>
      </c>
      <c r="X9">
        <v>0.52</v>
      </c>
      <c r="Y9">
        <v>1</v>
      </c>
      <c r="Z9">
        <v>10</v>
      </c>
    </row>
    <row r="10" spans="1:26" x14ac:dyDescent="0.3">
      <c r="A10">
        <v>8</v>
      </c>
      <c r="B10">
        <v>45</v>
      </c>
      <c r="C10" t="s">
        <v>26</v>
      </c>
      <c r="D10">
        <v>6.3474000000000004</v>
      </c>
      <c r="E10">
        <v>15.75</v>
      </c>
      <c r="F10">
        <v>13.25</v>
      </c>
      <c r="G10">
        <v>31.81</v>
      </c>
      <c r="H10">
        <v>0.52</v>
      </c>
      <c r="I10">
        <v>25</v>
      </c>
      <c r="J10">
        <v>101.2</v>
      </c>
      <c r="K10">
        <v>39.72</v>
      </c>
      <c r="L10">
        <v>3</v>
      </c>
      <c r="M10">
        <v>13</v>
      </c>
      <c r="N10">
        <v>13.49</v>
      </c>
      <c r="O10">
        <v>12715.54</v>
      </c>
      <c r="P10">
        <v>95.14</v>
      </c>
      <c r="Q10">
        <v>988.22</v>
      </c>
      <c r="R10">
        <v>52.7</v>
      </c>
      <c r="S10">
        <v>35.43</v>
      </c>
      <c r="T10">
        <v>7534.51</v>
      </c>
      <c r="U10">
        <v>0.67</v>
      </c>
      <c r="V10">
        <v>0.86</v>
      </c>
      <c r="W10">
        <v>3.02</v>
      </c>
      <c r="X10">
        <v>0.5</v>
      </c>
      <c r="Y10">
        <v>1</v>
      </c>
      <c r="Z10">
        <v>10</v>
      </c>
    </row>
    <row r="11" spans="1:26" x14ac:dyDescent="0.3">
      <c r="A11">
        <v>9</v>
      </c>
      <c r="B11">
        <v>45</v>
      </c>
      <c r="C11" t="s">
        <v>26</v>
      </c>
      <c r="D11">
        <v>6.3644999999999996</v>
      </c>
      <c r="E11">
        <v>15.71</v>
      </c>
      <c r="F11">
        <v>13.23</v>
      </c>
      <c r="G11">
        <v>33.08</v>
      </c>
      <c r="H11">
        <v>0.56000000000000005</v>
      </c>
      <c r="I11">
        <v>24</v>
      </c>
      <c r="J11">
        <v>101.52</v>
      </c>
      <c r="K11">
        <v>39.72</v>
      </c>
      <c r="L11">
        <v>3.25</v>
      </c>
      <c r="M11">
        <v>4</v>
      </c>
      <c r="N11">
        <v>13.55</v>
      </c>
      <c r="O11">
        <v>12754.13</v>
      </c>
      <c r="P11">
        <v>94.56</v>
      </c>
      <c r="Q11">
        <v>988.33</v>
      </c>
      <c r="R11">
        <v>51.92</v>
      </c>
      <c r="S11">
        <v>35.43</v>
      </c>
      <c r="T11">
        <v>7148.81</v>
      </c>
      <c r="U11">
        <v>0.68</v>
      </c>
      <c r="V11">
        <v>0.86</v>
      </c>
      <c r="W11">
        <v>3.02</v>
      </c>
      <c r="X11">
        <v>0.48</v>
      </c>
      <c r="Y11">
        <v>1</v>
      </c>
      <c r="Z11">
        <v>10</v>
      </c>
    </row>
    <row r="12" spans="1:26" x14ac:dyDescent="0.3">
      <c r="A12">
        <v>10</v>
      </c>
      <c r="B12">
        <v>45</v>
      </c>
      <c r="C12" t="s">
        <v>26</v>
      </c>
      <c r="D12">
        <v>6.3815</v>
      </c>
      <c r="E12">
        <v>15.67</v>
      </c>
      <c r="F12">
        <v>13.21</v>
      </c>
      <c r="G12">
        <v>34.46</v>
      </c>
      <c r="H12">
        <v>0.6</v>
      </c>
      <c r="I12">
        <v>23</v>
      </c>
      <c r="J12">
        <v>101.83</v>
      </c>
      <c r="K12">
        <v>39.72</v>
      </c>
      <c r="L12">
        <v>3.5</v>
      </c>
      <c r="M12">
        <v>1</v>
      </c>
      <c r="N12">
        <v>13.61</v>
      </c>
      <c r="O12">
        <v>12792.74</v>
      </c>
      <c r="P12">
        <v>94.05</v>
      </c>
      <c r="Q12">
        <v>988.31</v>
      </c>
      <c r="R12">
        <v>51.3</v>
      </c>
      <c r="S12">
        <v>35.43</v>
      </c>
      <c r="T12">
        <v>6846.66</v>
      </c>
      <c r="U12">
        <v>0.69</v>
      </c>
      <c r="V12">
        <v>0.86</v>
      </c>
      <c r="W12">
        <v>3.02</v>
      </c>
      <c r="X12">
        <v>0.45</v>
      </c>
      <c r="Y12">
        <v>1</v>
      </c>
      <c r="Z12">
        <v>10</v>
      </c>
    </row>
    <row r="13" spans="1:26" x14ac:dyDescent="0.3">
      <c r="A13">
        <v>11</v>
      </c>
      <c r="B13">
        <v>45</v>
      </c>
      <c r="C13" t="s">
        <v>26</v>
      </c>
      <c r="D13">
        <v>6.3806000000000003</v>
      </c>
      <c r="E13">
        <v>15.67</v>
      </c>
      <c r="F13">
        <v>13.21</v>
      </c>
      <c r="G13">
        <v>34.47</v>
      </c>
      <c r="H13">
        <v>0.65</v>
      </c>
      <c r="I13">
        <v>23</v>
      </c>
      <c r="J13">
        <v>102.14</v>
      </c>
      <c r="K13">
        <v>39.72</v>
      </c>
      <c r="L13">
        <v>3.75</v>
      </c>
      <c r="M13">
        <v>0</v>
      </c>
      <c r="N13">
        <v>13.68</v>
      </c>
      <c r="O13">
        <v>12831.37</v>
      </c>
      <c r="P13">
        <v>94.36</v>
      </c>
      <c r="Q13">
        <v>988.27</v>
      </c>
      <c r="R13">
        <v>51.28</v>
      </c>
      <c r="S13">
        <v>35.43</v>
      </c>
      <c r="T13">
        <v>6833.65</v>
      </c>
      <c r="U13">
        <v>0.69</v>
      </c>
      <c r="V13">
        <v>0.86</v>
      </c>
      <c r="W13">
        <v>3.02</v>
      </c>
      <c r="X13">
        <v>0.46</v>
      </c>
      <c r="Y13">
        <v>1</v>
      </c>
      <c r="Z1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ilha13"/>
  <dimension ref="A1:Z44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105</v>
      </c>
      <c r="C2" t="s">
        <v>26</v>
      </c>
      <c r="D2">
        <v>3.9218000000000002</v>
      </c>
      <c r="E2">
        <v>25.5</v>
      </c>
      <c r="F2">
        <v>16.16</v>
      </c>
      <c r="G2">
        <v>5.81</v>
      </c>
      <c r="H2">
        <v>0.09</v>
      </c>
      <c r="I2">
        <v>167</v>
      </c>
      <c r="J2">
        <v>204</v>
      </c>
      <c r="K2">
        <v>55.27</v>
      </c>
      <c r="L2">
        <v>1</v>
      </c>
      <c r="M2">
        <v>165</v>
      </c>
      <c r="N2">
        <v>42.72</v>
      </c>
      <c r="O2">
        <v>25393.599999999999</v>
      </c>
      <c r="P2">
        <v>231.17</v>
      </c>
      <c r="Q2">
        <v>988.36</v>
      </c>
      <c r="R2">
        <v>143.91999999999999</v>
      </c>
      <c r="S2">
        <v>35.43</v>
      </c>
      <c r="T2">
        <v>52435.8</v>
      </c>
      <c r="U2">
        <v>0.25</v>
      </c>
      <c r="V2">
        <v>0.71</v>
      </c>
      <c r="W2">
        <v>3.23</v>
      </c>
      <c r="X2">
        <v>3.4</v>
      </c>
      <c r="Y2">
        <v>1</v>
      </c>
      <c r="Z2">
        <v>10</v>
      </c>
    </row>
    <row r="3" spans="1:26" x14ac:dyDescent="0.3">
      <c r="A3">
        <v>1</v>
      </c>
      <c r="B3">
        <v>105</v>
      </c>
      <c r="C3" t="s">
        <v>26</v>
      </c>
      <c r="D3">
        <v>4.3499999999999996</v>
      </c>
      <c r="E3">
        <v>22.99</v>
      </c>
      <c r="F3">
        <v>15.31</v>
      </c>
      <c r="G3">
        <v>7.29</v>
      </c>
      <c r="H3">
        <v>0.11</v>
      </c>
      <c r="I3">
        <v>126</v>
      </c>
      <c r="J3">
        <v>204.39</v>
      </c>
      <c r="K3">
        <v>55.27</v>
      </c>
      <c r="L3">
        <v>1.25</v>
      </c>
      <c r="M3">
        <v>124</v>
      </c>
      <c r="N3">
        <v>42.87</v>
      </c>
      <c r="O3">
        <v>25442.42</v>
      </c>
      <c r="P3">
        <v>218.14</v>
      </c>
      <c r="Q3">
        <v>988.5</v>
      </c>
      <c r="R3">
        <v>117.26</v>
      </c>
      <c r="S3">
        <v>35.43</v>
      </c>
      <c r="T3">
        <v>39309.67</v>
      </c>
      <c r="U3">
        <v>0.3</v>
      </c>
      <c r="V3">
        <v>0.74</v>
      </c>
      <c r="W3">
        <v>3.17</v>
      </c>
      <c r="X3">
        <v>2.56</v>
      </c>
      <c r="Y3">
        <v>1</v>
      </c>
      <c r="Z3">
        <v>10</v>
      </c>
    </row>
    <row r="4" spans="1:26" x14ac:dyDescent="0.3">
      <c r="A4">
        <v>2</v>
      </c>
      <c r="B4">
        <v>105</v>
      </c>
      <c r="C4" t="s">
        <v>26</v>
      </c>
      <c r="D4">
        <v>4.6471999999999998</v>
      </c>
      <c r="E4">
        <v>21.52</v>
      </c>
      <c r="F4">
        <v>14.82</v>
      </c>
      <c r="G4">
        <v>8.7200000000000006</v>
      </c>
      <c r="H4">
        <v>0.13</v>
      </c>
      <c r="I4">
        <v>102</v>
      </c>
      <c r="J4">
        <v>204.79</v>
      </c>
      <c r="K4">
        <v>55.27</v>
      </c>
      <c r="L4">
        <v>1.5</v>
      </c>
      <c r="M4">
        <v>100</v>
      </c>
      <c r="N4">
        <v>43.02</v>
      </c>
      <c r="O4">
        <v>25491.3</v>
      </c>
      <c r="P4">
        <v>210.11</v>
      </c>
      <c r="Q4">
        <v>988.25</v>
      </c>
      <c r="R4">
        <v>101.54</v>
      </c>
      <c r="S4">
        <v>35.43</v>
      </c>
      <c r="T4">
        <v>31571.89</v>
      </c>
      <c r="U4">
        <v>0.35</v>
      </c>
      <c r="V4">
        <v>0.77</v>
      </c>
      <c r="W4">
        <v>3.15</v>
      </c>
      <c r="X4">
        <v>2.06</v>
      </c>
      <c r="Y4">
        <v>1</v>
      </c>
      <c r="Z4">
        <v>10</v>
      </c>
    </row>
    <row r="5" spans="1:26" x14ac:dyDescent="0.3">
      <c r="A5">
        <v>3</v>
      </c>
      <c r="B5">
        <v>105</v>
      </c>
      <c r="C5" t="s">
        <v>26</v>
      </c>
      <c r="D5">
        <v>4.8878000000000004</v>
      </c>
      <c r="E5">
        <v>20.46</v>
      </c>
      <c r="F5">
        <v>14.45</v>
      </c>
      <c r="G5">
        <v>10.199999999999999</v>
      </c>
      <c r="H5">
        <v>0.15</v>
      </c>
      <c r="I5">
        <v>85</v>
      </c>
      <c r="J5">
        <v>205.18</v>
      </c>
      <c r="K5">
        <v>55.27</v>
      </c>
      <c r="L5">
        <v>1.75</v>
      </c>
      <c r="M5">
        <v>83</v>
      </c>
      <c r="N5">
        <v>43.16</v>
      </c>
      <c r="O5">
        <v>25540.22</v>
      </c>
      <c r="P5">
        <v>203.94</v>
      </c>
      <c r="Q5">
        <v>988.36</v>
      </c>
      <c r="R5">
        <v>90.25</v>
      </c>
      <c r="S5">
        <v>35.43</v>
      </c>
      <c r="T5">
        <v>26011.66</v>
      </c>
      <c r="U5">
        <v>0.39</v>
      </c>
      <c r="V5">
        <v>0.79</v>
      </c>
      <c r="W5">
        <v>3.1</v>
      </c>
      <c r="X5">
        <v>1.69</v>
      </c>
      <c r="Y5">
        <v>1</v>
      </c>
      <c r="Z5">
        <v>10</v>
      </c>
    </row>
    <row r="6" spans="1:26" x14ac:dyDescent="0.3">
      <c r="A6">
        <v>4</v>
      </c>
      <c r="B6">
        <v>105</v>
      </c>
      <c r="C6" t="s">
        <v>26</v>
      </c>
      <c r="D6">
        <v>5.0678000000000001</v>
      </c>
      <c r="E6">
        <v>19.73</v>
      </c>
      <c r="F6">
        <v>14.21</v>
      </c>
      <c r="G6">
        <v>11.68</v>
      </c>
      <c r="H6">
        <v>0.17</v>
      </c>
      <c r="I6">
        <v>73</v>
      </c>
      <c r="J6">
        <v>205.58</v>
      </c>
      <c r="K6">
        <v>55.27</v>
      </c>
      <c r="L6">
        <v>2</v>
      </c>
      <c r="M6">
        <v>71</v>
      </c>
      <c r="N6">
        <v>43.31</v>
      </c>
      <c r="O6">
        <v>25589.200000000001</v>
      </c>
      <c r="P6">
        <v>199.65</v>
      </c>
      <c r="Q6">
        <v>988.41</v>
      </c>
      <c r="R6">
        <v>82.99</v>
      </c>
      <c r="S6">
        <v>35.43</v>
      </c>
      <c r="T6">
        <v>22440.04</v>
      </c>
      <c r="U6">
        <v>0.43</v>
      </c>
      <c r="V6">
        <v>0.8</v>
      </c>
      <c r="W6">
        <v>3.08</v>
      </c>
      <c r="X6">
        <v>1.45</v>
      </c>
      <c r="Y6">
        <v>1</v>
      </c>
      <c r="Z6">
        <v>10</v>
      </c>
    </row>
    <row r="7" spans="1:26" x14ac:dyDescent="0.3">
      <c r="A7">
        <v>5</v>
      </c>
      <c r="B7">
        <v>105</v>
      </c>
      <c r="C7" t="s">
        <v>26</v>
      </c>
      <c r="D7">
        <v>5.2119999999999997</v>
      </c>
      <c r="E7">
        <v>19.190000000000001</v>
      </c>
      <c r="F7">
        <v>14.03</v>
      </c>
      <c r="G7">
        <v>13.15</v>
      </c>
      <c r="H7">
        <v>0.19</v>
      </c>
      <c r="I7">
        <v>64</v>
      </c>
      <c r="J7">
        <v>205.98</v>
      </c>
      <c r="K7">
        <v>55.27</v>
      </c>
      <c r="L7">
        <v>2.25</v>
      </c>
      <c r="M7">
        <v>62</v>
      </c>
      <c r="N7">
        <v>43.46</v>
      </c>
      <c r="O7">
        <v>25638.22</v>
      </c>
      <c r="P7">
        <v>196.22</v>
      </c>
      <c r="Q7">
        <v>988.31</v>
      </c>
      <c r="R7">
        <v>77.47</v>
      </c>
      <c r="S7">
        <v>35.43</v>
      </c>
      <c r="T7">
        <v>19727.28</v>
      </c>
      <c r="U7">
        <v>0.46</v>
      </c>
      <c r="V7">
        <v>0.81</v>
      </c>
      <c r="W7">
        <v>3.07</v>
      </c>
      <c r="X7">
        <v>1.27</v>
      </c>
      <c r="Y7">
        <v>1</v>
      </c>
      <c r="Z7">
        <v>10</v>
      </c>
    </row>
    <row r="8" spans="1:26" x14ac:dyDescent="0.3">
      <c r="A8">
        <v>6</v>
      </c>
      <c r="B8">
        <v>105</v>
      </c>
      <c r="C8" t="s">
        <v>26</v>
      </c>
      <c r="D8">
        <v>5.3329000000000004</v>
      </c>
      <c r="E8">
        <v>18.75</v>
      </c>
      <c r="F8">
        <v>13.88</v>
      </c>
      <c r="G8">
        <v>14.61</v>
      </c>
      <c r="H8">
        <v>0.22</v>
      </c>
      <c r="I8">
        <v>57</v>
      </c>
      <c r="J8">
        <v>206.38</v>
      </c>
      <c r="K8">
        <v>55.27</v>
      </c>
      <c r="L8">
        <v>2.5</v>
      </c>
      <c r="M8">
        <v>55</v>
      </c>
      <c r="N8">
        <v>43.6</v>
      </c>
      <c r="O8">
        <v>25687.3</v>
      </c>
      <c r="P8">
        <v>193.12</v>
      </c>
      <c r="Q8">
        <v>988.39</v>
      </c>
      <c r="R8">
        <v>72.61</v>
      </c>
      <c r="S8">
        <v>35.43</v>
      </c>
      <c r="T8">
        <v>17330.52</v>
      </c>
      <c r="U8">
        <v>0.49</v>
      </c>
      <c r="V8">
        <v>0.82</v>
      </c>
      <c r="W8">
        <v>3.06</v>
      </c>
      <c r="X8">
        <v>1.1200000000000001</v>
      </c>
      <c r="Y8">
        <v>1</v>
      </c>
      <c r="Z8">
        <v>10</v>
      </c>
    </row>
    <row r="9" spans="1:26" x14ac:dyDescent="0.3">
      <c r="A9">
        <v>7</v>
      </c>
      <c r="B9">
        <v>105</v>
      </c>
      <c r="C9" t="s">
        <v>26</v>
      </c>
      <c r="D9">
        <v>5.4328000000000003</v>
      </c>
      <c r="E9">
        <v>18.41</v>
      </c>
      <c r="F9">
        <v>13.77</v>
      </c>
      <c r="G9">
        <v>16.2</v>
      </c>
      <c r="H9">
        <v>0.24</v>
      </c>
      <c r="I9">
        <v>51</v>
      </c>
      <c r="J9">
        <v>206.78</v>
      </c>
      <c r="K9">
        <v>55.27</v>
      </c>
      <c r="L9">
        <v>2.75</v>
      </c>
      <c r="M9">
        <v>49</v>
      </c>
      <c r="N9">
        <v>43.75</v>
      </c>
      <c r="O9">
        <v>25736.42</v>
      </c>
      <c r="P9">
        <v>190.72</v>
      </c>
      <c r="Q9">
        <v>988.26</v>
      </c>
      <c r="R9">
        <v>69.38</v>
      </c>
      <c r="S9">
        <v>35.43</v>
      </c>
      <c r="T9">
        <v>15744.83</v>
      </c>
      <c r="U9">
        <v>0.51</v>
      </c>
      <c r="V9">
        <v>0.83</v>
      </c>
      <c r="W9">
        <v>3.05</v>
      </c>
      <c r="X9">
        <v>1.02</v>
      </c>
      <c r="Y9">
        <v>1</v>
      </c>
      <c r="Z9">
        <v>10</v>
      </c>
    </row>
    <row r="10" spans="1:26" x14ac:dyDescent="0.3">
      <c r="A10">
        <v>8</v>
      </c>
      <c r="B10">
        <v>105</v>
      </c>
      <c r="C10" t="s">
        <v>26</v>
      </c>
      <c r="D10">
        <v>5.5293000000000001</v>
      </c>
      <c r="E10">
        <v>18.09</v>
      </c>
      <c r="F10">
        <v>13.66</v>
      </c>
      <c r="G10">
        <v>17.809999999999999</v>
      </c>
      <c r="H10">
        <v>0.26</v>
      </c>
      <c r="I10">
        <v>46</v>
      </c>
      <c r="J10">
        <v>207.17</v>
      </c>
      <c r="K10">
        <v>55.27</v>
      </c>
      <c r="L10">
        <v>3</v>
      </c>
      <c r="M10">
        <v>44</v>
      </c>
      <c r="N10">
        <v>43.9</v>
      </c>
      <c r="O10">
        <v>25785.599999999999</v>
      </c>
      <c r="P10">
        <v>188.21</v>
      </c>
      <c r="Q10">
        <v>988.19</v>
      </c>
      <c r="R10">
        <v>65.489999999999995</v>
      </c>
      <c r="S10">
        <v>35.43</v>
      </c>
      <c r="T10">
        <v>13824.48</v>
      </c>
      <c r="U10">
        <v>0.54</v>
      </c>
      <c r="V10">
        <v>0.83</v>
      </c>
      <c r="W10">
        <v>3.04</v>
      </c>
      <c r="X10">
        <v>0.9</v>
      </c>
      <c r="Y10">
        <v>1</v>
      </c>
      <c r="Z10">
        <v>10</v>
      </c>
    </row>
    <row r="11" spans="1:26" x14ac:dyDescent="0.3">
      <c r="A11">
        <v>9</v>
      </c>
      <c r="B11">
        <v>105</v>
      </c>
      <c r="C11" t="s">
        <v>26</v>
      </c>
      <c r="D11">
        <v>5.6059999999999999</v>
      </c>
      <c r="E11">
        <v>17.84</v>
      </c>
      <c r="F11">
        <v>13.57</v>
      </c>
      <c r="G11">
        <v>19.39</v>
      </c>
      <c r="H11">
        <v>0.28000000000000003</v>
      </c>
      <c r="I11">
        <v>42</v>
      </c>
      <c r="J11">
        <v>207.57</v>
      </c>
      <c r="K11">
        <v>55.27</v>
      </c>
      <c r="L11">
        <v>3.25</v>
      </c>
      <c r="M11">
        <v>40</v>
      </c>
      <c r="N11">
        <v>44.05</v>
      </c>
      <c r="O11">
        <v>25834.83</v>
      </c>
      <c r="P11">
        <v>185.92</v>
      </c>
      <c r="Q11">
        <v>988.16</v>
      </c>
      <c r="R11">
        <v>63.32</v>
      </c>
      <c r="S11">
        <v>35.43</v>
      </c>
      <c r="T11">
        <v>12759.12</v>
      </c>
      <c r="U11">
        <v>0.56000000000000005</v>
      </c>
      <c r="V11">
        <v>0.84</v>
      </c>
      <c r="W11">
        <v>3.03</v>
      </c>
      <c r="X11">
        <v>0.82</v>
      </c>
      <c r="Y11">
        <v>1</v>
      </c>
      <c r="Z11">
        <v>10</v>
      </c>
    </row>
    <row r="12" spans="1:26" x14ac:dyDescent="0.3">
      <c r="A12">
        <v>10</v>
      </c>
      <c r="B12">
        <v>105</v>
      </c>
      <c r="C12" t="s">
        <v>26</v>
      </c>
      <c r="D12">
        <v>5.6614000000000004</v>
      </c>
      <c r="E12">
        <v>17.66</v>
      </c>
      <c r="F12">
        <v>13.52</v>
      </c>
      <c r="G12">
        <v>20.8</v>
      </c>
      <c r="H12">
        <v>0.3</v>
      </c>
      <c r="I12">
        <v>39</v>
      </c>
      <c r="J12">
        <v>207.97</v>
      </c>
      <c r="K12">
        <v>55.27</v>
      </c>
      <c r="L12">
        <v>3.5</v>
      </c>
      <c r="M12">
        <v>37</v>
      </c>
      <c r="N12">
        <v>44.2</v>
      </c>
      <c r="O12">
        <v>25884.1</v>
      </c>
      <c r="P12">
        <v>184.56</v>
      </c>
      <c r="Q12">
        <v>988.18</v>
      </c>
      <c r="R12">
        <v>61.42</v>
      </c>
      <c r="S12">
        <v>35.43</v>
      </c>
      <c r="T12">
        <v>11825.12</v>
      </c>
      <c r="U12">
        <v>0.57999999999999996</v>
      </c>
      <c r="V12">
        <v>0.84</v>
      </c>
      <c r="W12">
        <v>3.03</v>
      </c>
      <c r="X12">
        <v>0.76</v>
      </c>
      <c r="Y12">
        <v>1</v>
      </c>
      <c r="Z12">
        <v>10</v>
      </c>
    </row>
    <row r="13" spans="1:26" x14ac:dyDescent="0.3">
      <c r="A13">
        <v>11</v>
      </c>
      <c r="B13">
        <v>105</v>
      </c>
      <c r="C13" t="s">
        <v>26</v>
      </c>
      <c r="D13">
        <v>5.7206000000000001</v>
      </c>
      <c r="E13">
        <v>17.48</v>
      </c>
      <c r="F13">
        <v>13.46</v>
      </c>
      <c r="G13">
        <v>22.43</v>
      </c>
      <c r="H13">
        <v>0.32</v>
      </c>
      <c r="I13">
        <v>36</v>
      </c>
      <c r="J13">
        <v>208.37</v>
      </c>
      <c r="K13">
        <v>55.27</v>
      </c>
      <c r="L13">
        <v>3.75</v>
      </c>
      <c r="M13">
        <v>34</v>
      </c>
      <c r="N13">
        <v>44.35</v>
      </c>
      <c r="O13">
        <v>25933.43</v>
      </c>
      <c r="P13">
        <v>182.58</v>
      </c>
      <c r="Q13">
        <v>988.1</v>
      </c>
      <c r="R13">
        <v>59.52</v>
      </c>
      <c r="S13">
        <v>35.43</v>
      </c>
      <c r="T13">
        <v>10890.2</v>
      </c>
      <c r="U13">
        <v>0.6</v>
      </c>
      <c r="V13">
        <v>0.85</v>
      </c>
      <c r="W13">
        <v>3.02</v>
      </c>
      <c r="X13">
        <v>0.7</v>
      </c>
      <c r="Y13">
        <v>1</v>
      </c>
      <c r="Z13">
        <v>10</v>
      </c>
    </row>
    <row r="14" spans="1:26" x14ac:dyDescent="0.3">
      <c r="A14">
        <v>12</v>
      </c>
      <c r="B14">
        <v>105</v>
      </c>
      <c r="C14" t="s">
        <v>26</v>
      </c>
      <c r="D14">
        <v>5.7625000000000002</v>
      </c>
      <c r="E14">
        <v>17.350000000000001</v>
      </c>
      <c r="F14">
        <v>13.41</v>
      </c>
      <c r="G14">
        <v>23.66</v>
      </c>
      <c r="H14">
        <v>0.34</v>
      </c>
      <c r="I14">
        <v>34</v>
      </c>
      <c r="J14">
        <v>208.77</v>
      </c>
      <c r="K14">
        <v>55.27</v>
      </c>
      <c r="L14">
        <v>4</v>
      </c>
      <c r="M14">
        <v>32</v>
      </c>
      <c r="N14">
        <v>44.5</v>
      </c>
      <c r="O14">
        <v>25982.82</v>
      </c>
      <c r="P14">
        <v>181.18</v>
      </c>
      <c r="Q14">
        <v>988.15</v>
      </c>
      <c r="R14">
        <v>58.25</v>
      </c>
      <c r="S14">
        <v>35.43</v>
      </c>
      <c r="T14">
        <v>10263.9</v>
      </c>
      <c r="U14">
        <v>0.61</v>
      </c>
      <c r="V14">
        <v>0.85</v>
      </c>
      <c r="W14">
        <v>3.02</v>
      </c>
      <c r="X14">
        <v>0.66</v>
      </c>
      <c r="Y14">
        <v>1</v>
      </c>
      <c r="Z14">
        <v>10</v>
      </c>
    </row>
    <row r="15" spans="1:26" x14ac:dyDescent="0.3">
      <c r="A15">
        <v>13</v>
      </c>
      <c r="B15">
        <v>105</v>
      </c>
      <c r="C15" t="s">
        <v>26</v>
      </c>
      <c r="D15">
        <v>5.7968000000000002</v>
      </c>
      <c r="E15">
        <v>17.25</v>
      </c>
      <c r="F15">
        <v>13.39</v>
      </c>
      <c r="G15">
        <v>25.1</v>
      </c>
      <c r="H15">
        <v>0.36</v>
      </c>
      <c r="I15">
        <v>32</v>
      </c>
      <c r="J15">
        <v>209.17</v>
      </c>
      <c r="K15">
        <v>55.27</v>
      </c>
      <c r="L15">
        <v>4.25</v>
      </c>
      <c r="M15">
        <v>30</v>
      </c>
      <c r="N15">
        <v>44.65</v>
      </c>
      <c r="O15">
        <v>26032.25</v>
      </c>
      <c r="P15">
        <v>179.69</v>
      </c>
      <c r="Q15">
        <v>988.2</v>
      </c>
      <c r="R15">
        <v>57.32</v>
      </c>
      <c r="S15">
        <v>35.43</v>
      </c>
      <c r="T15">
        <v>9810.8700000000008</v>
      </c>
      <c r="U15">
        <v>0.62</v>
      </c>
      <c r="V15">
        <v>0.85</v>
      </c>
      <c r="W15">
        <v>3.02</v>
      </c>
      <c r="X15">
        <v>0.63</v>
      </c>
      <c r="Y15">
        <v>1</v>
      </c>
      <c r="Z15">
        <v>10</v>
      </c>
    </row>
    <row r="16" spans="1:26" x14ac:dyDescent="0.3">
      <c r="A16">
        <v>14</v>
      </c>
      <c r="B16">
        <v>105</v>
      </c>
      <c r="C16" t="s">
        <v>26</v>
      </c>
      <c r="D16">
        <v>5.8491999999999997</v>
      </c>
      <c r="E16">
        <v>17.100000000000001</v>
      </c>
      <c r="F16">
        <v>13.31</v>
      </c>
      <c r="G16">
        <v>26.63</v>
      </c>
      <c r="H16">
        <v>0.38</v>
      </c>
      <c r="I16">
        <v>30</v>
      </c>
      <c r="J16">
        <v>209.58</v>
      </c>
      <c r="K16">
        <v>55.27</v>
      </c>
      <c r="L16">
        <v>4.5</v>
      </c>
      <c r="M16">
        <v>28</v>
      </c>
      <c r="N16">
        <v>44.8</v>
      </c>
      <c r="O16">
        <v>26081.73</v>
      </c>
      <c r="P16">
        <v>178.08</v>
      </c>
      <c r="Q16">
        <v>988.13</v>
      </c>
      <c r="R16">
        <v>55.3</v>
      </c>
      <c r="S16">
        <v>35.43</v>
      </c>
      <c r="T16">
        <v>8811.64</v>
      </c>
      <c r="U16">
        <v>0.64</v>
      </c>
      <c r="V16">
        <v>0.86</v>
      </c>
      <c r="W16">
        <v>3.01</v>
      </c>
      <c r="X16">
        <v>0.56000000000000005</v>
      </c>
      <c r="Y16">
        <v>1</v>
      </c>
      <c r="Z16">
        <v>10</v>
      </c>
    </row>
    <row r="17" spans="1:26" x14ac:dyDescent="0.3">
      <c r="A17">
        <v>15</v>
      </c>
      <c r="B17">
        <v>105</v>
      </c>
      <c r="C17" t="s">
        <v>26</v>
      </c>
      <c r="D17">
        <v>5.8864000000000001</v>
      </c>
      <c r="E17">
        <v>16.989999999999998</v>
      </c>
      <c r="F17">
        <v>13.29</v>
      </c>
      <c r="G17">
        <v>28.47</v>
      </c>
      <c r="H17">
        <v>0.4</v>
      </c>
      <c r="I17">
        <v>28</v>
      </c>
      <c r="J17">
        <v>209.98</v>
      </c>
      <c r="K17">
        <v>55.27</v>
      </c>
      <c r="L17">
        <v>4.75</v>
      </c>
      <c r="M17">
        <v>26</v>
      </c>
      <c r="N17">
        <v>44.95</v>
      </c>
      <c r="O17">
        <v>26131.27</v>
      </c>
      <c r="P17">
        <v>176.56</v>
      </c>
      <c r="Q17">
        <v>988.2</v>
      </c>
      <c r="R17">
        <v>54.49</v>
      </c>
      <c r="S17">
        <v>35.43</v>
      </c>
      <c r="T17">
        <v>8417.9699999999993</v>
      </c>
      <c r="U17">
        <v>0.65</v>
      </c>
      <c r="V17">
        <v>0.86</v>
      </c>
      <c r="W17">
        <v>3</v>
      </c>
      <c r="X17">
        <v>0.53</v>
      </c>
      <c r="Y17">
        <v>1</v>
      </c>
      <c r="Z17">
        <v>10</v>
      </c>
    </row>
    <row r="18" spans="1:26" x14ac:dyDescent="0.3">
      <c r="A18">
        <v>16</v>
      </c>
      <c r="B18">
        <v>105</v>
      </c>
      <c r="C18" t="s">
        <v>26</v>
      </c>
      <c r="D18">
        <v>5.9043999999999999</v>
      </c>
      <c r="E18">
        <v>16.940000000000001</v>
      </c>
      <c r="F18">
        <v>13.28</v>
      </c>
      <c r="G18">
        <v>29.5</v>
      </c>
      <c r="H18">
        <v>0.42</v>
      </c>
      <c r="I18">
        <v>27</v>
      </c>
      <c r="J18">
        <v>210.38</v>
      </c>
      <c r="K18">
        <v>55.27</v>
      </c>
      <c r="L18">
        <v>5</v>
      </c>
      <c r="M18">
        <v>25</v>
      </c>
      <c r="N18">
        <v>45.11</v>
      </c>
      <c r="O18">
        <v>26180.86</v>
      </c>
      <c r="P18">
        <v>175.41</v>
      </c>
      <c r="Q18">
        <v>988.12</v>
      </c>
      <c r="R18">
        <v>53.75</v>
      </c>
      <c r="S18">
        <v>35.43</v>
      </c>
      <c r="T18">
        <v>8053.12</v>
      </c>
      <c r="U18">
        <v>0.66</v>
      </c>
      <c r="V18">
        <v>0.86</v>
      </c>
      <c r="W18">
        <v>3.02</v>
      </c>
      <c r="X18">
        <v>0.52</v>
      </c>
      <c r="Y18">
        <v>1</v>
      </c>
      <c r="Z18">
        <v>10</v>
      </c>
    </row>
    <row r="19" spans="1:26" x14ac:dyDescent="0.3">
      <c r="A19">
        <v>17</v>
      </c>
      <c r="B19">
        <v>105</v>
      </c>
      <c r="C19" t="s">
        <v>26</v>
      </c>
      <c r="D19">
        <v>5.9457000000000004</v>
      </c>
      <c r="E19">
        <v>16.82</v>
      </c>
      <c r="F19">
        <v>13.24</v>
      </c>
      <c r="G19">
        <v>31.78</v>
      </c>
      <c r="H19">
        <v>0.44</v>
      </c>
      <c r="I19">
        <v>25</v>
      </c>
      <c r="J19">
        <v>210.78</v>
      </c>
      <c r="K19">
        <v>55.27</v>
      </c>
      <c r="L19">
        <v>5.25</v>
      </c>
      <c r="M19">
        <v>23</v>
      </c>
      <c r="N19">
        <v>45.26</v>
      </c>
      <c r="O19">
        <v>26230.5</v>
      </c>
      <c r="P19">
        <v>174.07</v>
      </c>
      <c r="Q19">
        <v>988.21</v>
      </c>
      <c r="R19">
        <v>52.92</v>
      </c>
      <c r="S19">
        <v>35.43</v>
      </c>
      <c r="T19">
        <v>7647.28</v>
      </c>
      <c r="U19">
        <v>0.67</v>
      </c>
      <c r="V19">
        <v>0.86</v>
      </c>
      <c r="W19">
        <v>3</v>
      </c>
      <c r="X19">
        <v>0.49</v>
      </c>
      <c r="Y19">
        <v>1</v>
      </c>
      <c r="Z19">
        <v>10</v>
      </c>
    </row>
    <row r="20" spans="1:26" x14ac:dyDescent="0.3">
      <c r="A20">
        <v>18</v>
      </c>
      <c r="B20">
        <v>105</v>
      </c>
      <c r="C20" t="s">
        <v>26</v>
      </c>
      <c r="D20">
        <v>5.9756999999999998</v>
      </c>
      <c r="E20">
        <v>16.73</v>
      </c>
      <c r="F20">
        <v>13.2</v>
      </c>
      <c r="G20">
        <v>32.99</v>
      </c>
      <c r="H20">
        <v>0.46</v>
      </c>
      <c r="I20">
        <v>24</v>
      </c>
      <c r="J20">
        <v>211.18</v>
      </c>
      <c r="K20">
        <v>55.27</v>
      </c>
      <c r="L20">
        <v>5.5</v>
      </c>
      <c r="M20">
        <v>22</v>
      </c>
      <c r="N20">
        <v>45.41</v>
      </c>
      <c r="O20">
        <v>26280.2</v>
      </c>
      <c r="P20">
        <v>172.52</v>
      </c>
      <c r="Q20">
        <v>988.14</v>
      </c>
      <c r="R20">
        <v>51.57</v>
      </c>
      <c r="S20">
        <v>35.43</v>
      </c>
      <c r="T20">
        <v>6974.25</v>
      </c>
      <c r="U20">
        <v>0.69</v>
      </c>
      <c r="V20">
        <v>0.86</v>
      </c>
      <c r="W20">
        <v>3</v>
      </c>
      <c r="X20">
        <v>0.44</v>
      </c>
      <c r="Y20">
        <v>1</v>
      </c>
      <c r="Z20">
        <v>10</v>
      </c>
    </row>
    <row r="21" spans="1:26" x14ac:dyDescent="0.3">
      <c r="A21">
        <v>19</v>
      </c>
      <c r="B21">
        <v>105</v>
      </c>
      <c r="C21" t="s">
        <v>26</v>
      </c>
      <c r="D21">
        <v>5.9897999999999998</v>
      </c>
      <c r="E21">
        <v>16.7</v>
      </c>
      <c r="F21">
        <v>13.2</v>
      </c>
      <c r="G21">
        <v>34.43</v>
      </c>
      <c r="H21">
        <v>0.48</v>
      </c>
      <c r="I21">
        <v>23</v>
      </c>
      <c r="J21">
        <v>211.59</v>
      </c>
      <c r="K21">
        <v>55.27</v>
      </c>
      <c r="L21">
        <v>5.75</v>
      </c>
      <c r="M21">
        <v>21</v>
      </c>
      <c r="N21">
        <v>45.57</v>
      </c>
      <c r="O21">
        <v>26329.94</v>
      </c>
      <c r="P21">
        <v>171.78</v>
      </c>
      <c r="Q21">
        <v>988.12</v>
      </c>
      <c r="R21">
        <v>51.44</v>
      </c>
      <c r="S21">
        <v>35.43</v>
      </c>
      <c r="T21">
        <v>6915.82</v>
      </c>
      <c r="U21">
        <v>0.69</v>
      </c>
      <c r="V21">
        <v>0.86</v>
      </c>
      <c r="W21">
        <v>3</v>
      </c>
      <c r="X21">
        <v>0.44</v>
      </c>
      <c r="Y21">
        <v>1</v>
      </c>
      <c r="Z21">
        <v>10</v>
      </c>
    </row>
    <row r="22" spans="1:26" x14ac:dyDescent="0.3">
      <c r="A22">
        <v>20</v>
      </c>
      <c r="B22">
        <v>105</v>
      </c>
      <c r="C22" t="s">
        <v>26</v>
      </c>
      <c r="D22">
        <v>6.0136000000000003</v>
      </c>
      <c r="E22">
        <v>16.63</v>
      </c>
      <c r="F22">
        <v>13.17</v>
      </c>
      <c r="G22">
        <v>35.92</v>
      </c>
      <c r="H22">
        <v>0.5</v>
      </c>
      <c r="I22">
        <v>22</v>
      </c>
      <c r="J22">
        <v>211.99</v>
      </c>
      <c r="K22">
        <v>55.27</v>
      </c>
      <c r="L22">
        <v>6</v>
      </c>
      <c r="M22">
        <v>20</v>
      </c>
      <c r="N22">
        <v>45.72</v>
      </c>
      <c r="O22">
        <v>26379.74</v>
      </c>
      <c r="P22">
        <v>170.42</v>
      </c>
      <c r="Q22">
        <v>988.12</v>
      </c>
      <c r="R22">
        <v>50.8</v>
      </c>
      <c r="S22">
        <v>35.43</v>
      </c>
      <c r="T22">
        <v>6602.05</v>
      </c>
      <c r="U22">
        <v>0.7</v>
      </c>
      <c r="V22">
        <v>0.87</v>
      </c>
      <c r="W22">
        <v>3</v>
      </c>
      <c r="X22">
        <v>0.42</v>
      </c>
      <c r="Y22">
        <v>1</v>
      </c>
      <c r="Z22">
        <v>10</v>
      </c>
    </row>
    <row r="23" spans="1:26" x14ac:dyDescent="0.3">
      <c r="A23">
        <v>21</v>
      </c>
      <c r="B23">
        <v>105</v>
      </c>
      <c r="C23" t="s">
        <v>26</v>
      </c>
      <c r="D23">
        <v>6.0373999999999999</v>
      </c>
      <c r="E23">
        <v>16.559999999999999</v>
      </c>
      <c r="F23">
        <v>13.15</v>
      </c>
      <c r="G23">
        <v>37.56</v>
      </c>
      <c r="H23">
        <v>0.52</v>
      </c>
      <c r="I23">
        <v>21</v>
      </c>
      <c r="J23">
        <v>212.4</v>
      </c>
      <c r="K23">
        <v>55.27</v>
      </c>
      <c r="L23">
        <v>6.25</v>
      </c>
      <c r="M23">
        <v>19</v>
      </c>
      <c r="N23">
        <v>45.87</v>
      </c>
      <c r="O23">
        <v>26429.59</v>
      </c>
      <c r="P23">
        <v>168.55</v>
      </c>
      <c r="Q23">
        <v>988.15</v>
      </c>
      <c r="R23">
        <v>50</v>
      </c>
      <c r="S23">
        <v>35.43</v>
      </c>
      <c r="T23">
        <v>6207.46</v>
      </c>
      <c r="U23">
        <v>0.71</v>
      </c>
      <c r="V23">
        <v>0.87</v>
      </c>
      <c r="W23">
        <v>3</v>
      </c>
      <c r="X23">
        <v>0.39</v>
      </c>
      <c r="Y23">
        <v>1</v>
      </c>
      <c r="Z23">
        <v>10</v>
      </c>
    </row>
    <row r="24" spans="1:26" x14ac:dyDescent="0.3">
      <c r="A24">
        <v>22</v>
      </c>
      <c r="B24">
        <v>105</v>
      </c>
      <c r="C24" t="s">
        <v>26</v>
      </c>
      <c r="D24">
        <v>6.0640999999999998</v>
      </c>
      <c r="E24">
        <v>16.489999999999998</v>
      </c>
      <c r="F24">
        <v>13.11</v>
      </c>
      <c r="G24">
        <v>39.340000000000003</v>
      </c>
      <c r="H24">
        <v>0.54</v>
      </c>
      <c r="I24">
        <v>20</v>
      </c>
      <c r="J24">
        <v>212.8</v>
      </c>
      <c r="K24">
        <v>55.27</v>
      </c>
      <c r="L24">
        <v>6.5</v>
      </c>
      <c r="M24">
        <v>18</v>
      </c>
      <c r="N24">
        <v>46.03</v>
      </c>
      <c r="O24">
        <v>26479.5</v>
      </c>
      <c r="P24">
        <v>167.68</v>
      </c>
      <c r="Q24">
        <v>988.15</v>
      </c>
      <c r="R24">
        <v>48.99</v>
      </c>
      <c r="S24">
        <v>35.43</v>
      </c>
      <c r="T24">
        <v>5703.86</v>
      </c>
      <c r="U24">
        <v>0.72</v>
      </c>
      <c r="V24">
        <v>0.87</v>
      </c>
      <c r="W24">
        <v>2.99</v>
      </c>
      <c r="X24">
        <v>0.36</v>
      </c>
      <c r="Y24">
        <v>1</v>
      </c>
      <c r="Z24">
        <v>10</v>
      </c>
    </row>
    <row r="25" spans="1:26" x14ac:dyDescent="0.3">
      <c r="A25">
        <v>23</v>
      </c>
      <c r="B25">
        <v>105</v>
      </c>
      <c r="C25" t="s">
        <v>26</v>
      </c>
      <c r="D25">
        <v>6.0816999999999997</v>
      </c>
      <c r="E25">
        <v>16.440000000000001</v>
      </c>
      <c r="F25">
        <v>13.11</v>
      </c>
      <c r="G25">
        <v>41.39</v>
      </c>
      <c r="H25">
        <v>0.56000000000000005</v>
      </c>
      <c r="I25">
        <v>19</v>
      </c>
      <c r="J25">
        <v>213.21</v>
      </c>
      <c r="K25">
        <v>55.27</v>
      </c>
      <c r="L25">
        <v>6.75</v>
      </c>
      <c r="M25">
        <v>17</v>
      </c>
      <c r="N25">
        <v>46.18</v>
      </c>
      <c r="O25">
        <v>26529.46</v>
      </c>
      <c r="P25">
        <v>166.46</v>
      </c>
      <c r="Q25">
        <v>988.25</v>
      </c>
      <c r="R25">
        <v>48.67</v>
      </c>
      <c r="S25">
        <v>35.43</v>
      </c>
      <c r="T25">
        <v>5551.73</v>
      </c>
      <c r="U25">
        <v>0.73</v>
      </c>
      <c r="V25">
        <v>0.87</v>
      </c>
      <c r="W25">
        <v>3</v>
      </c>
      <c r="X25">
        <v>0.35</v>
      </c>
      <c r="Y25">
        <v>1</v>
      </c>
      <c r="Z25">
        <v>10</v>
      </c>
    </row>
    <row r="26" spans="1:26" x14ac:dyDescent="0.3">
      <c r="A26">
        <v>24</v>
      </c>
      <c r="B26">
        <v>105</v>
      </c>
      <c r="C26" t="s">
        <v>26</v>
      </c>
      <c r="D26">
        <v>6.1025999999999998</v>
      </c>
      <c r="E26">
        <v>16.39</v>
      </c>
      <c r="F26">
        <v>13.09</v>
      </c>
      <c r="G26">
        <v>43.64</v>
      </c>
      <c r="H26">
        <v>0.57999999999999996</v>
      </c>
      <c r="I26">
        <v>18</v>
      </c>
      <c r="J26">
        <v>213.61</v>
      </c>
      <c r="K26">
        <v>55.27</v>
      </c>
      <c r="L26">
        <v>7</v>
      </c>
      <c r="M26">
        <v>16</v>
      </c>
      <c r="N26">
        <v>46.34</v>
      </c>
      <c r="O26">
        <v>26579.47</v>
      </c>
      <c r="P26">
        <v>165.15</v>
      </c>
      <c r="Q26">
        <v>988.2</v>
      </c>
      <c r="R26">
        <v>48.34</v>
      </c>
      <c r="S26">
        <v>35.43</v>
      </c>
      <c r="T26">
        <v>5390.47</v>
      </c>
      <c r="U26">
        <v>0.73</v>
      </c>
      <c r="V26">
        <v>0.87</v>
      </c>
      <c r="W26">
        <v>2.99</v>
      </c>
      <c r="X26">
        <v>0.34</v>
      </c>
      <c r="Y26">
        <v>1</v>
      </c>
      <c r="Z26">
        <v>10</v>
      </c>
    </row>
    <row r="27" spans="1:26" x14ac:dyDescent="0.3">
      <c r="A27">
        <v>25</v>
      </c>
      <c r="B27">
        <v>105</v>
      </c>
      <c r="C27" t="s">
        <v>26</v>
      </c>
      <c r="D27">
        <v>6.1102999999999996</v>
      </c>
      <c r="E27">
        <v>16.37</v>
      </c>
      <c r="F27">
        <v>13.07</v>
      </c>
      <c r="G27">
        <v>43.57</v>
      </c>
      <c r="H27">
        <v>0.6</v>
      </c>
      <c r="I27">
        <v>18</v>
      </c>
      <c r="J27">
        <v>214.02</v>
      </c>
      <c r="K27">
        <v>55.27</v>
      </c>
      <c r="L27">
        <v>7.25</v>
      </c>
      <c r="M27">
        <v>16</v>
      </c>
      <c r="N27">
        <v>46.49</v>
      </c>
      <c r="O27">
        <v>26629.54</v>
      </c>
      <c r="P27">
        <v>162.72</v>
      </c>
      <c r="Q27">
        <v>988.08</v>
      </c>
      <c r="R27">
        <v>47.62</v>
      </c>
      <c r="S27">
        <v>35.43</v>
      </c>
      <c r="T27">
        <v>5030.95</v>
      </c>
      <c r="U27">
        <v>0.74</v>
      </c>
      <c r="V27">
        <v>0.87</v>
      </c>
      <c r="W27">
        <v>2.99</v>
      </c>
      <c r="X27">
        <v>0.32</v>
      </c>
      <c r="Y27">
        <v>1</v>
      </c>
      <c r="Z27">
        <v>10</v>
      </c>
    </row>
    <row r="28" spans="1:26" x14ac:dyDescent="0.3">
      <c r="A28">
        <v>26</v>
      </c>
      <c r="B28">
        <v>105</v>
      </c>
      <c r="C28" t="s">
        <v>26</v>
      </c>
      <c r="D28">
        <v>6.1253000000000002</v>
      </c>
      <c r="E28">
        <v>16.329999999999998</v>
      </c>
      <c r="F28">
        <v>13.07</v>
      </c>
      <c r="G28">
        <v>46.14</v>
      </c>
      <c r="H28">
        <v>0.62</v>
      </c>
      <c r="I28">
        <v>17</v>
      </c>
      <c r="J28">
        <v>214.42</v>
      </c>
      <c r="K28">
        <v>55.27</v>
      </c>
      <c r="L28">
        <v>7.5</v>
      </c>
      <c r="M28">
        <v>15</v>
      </c>
      <c r="N28">
        <v>46.65</v>
      </c>
      <c r="O28">
        <v>26679.66</v>
      </c>
      <c r="P28">
        <v>161.93</v>
      </c>
      <c r="Q28">
        <v>988.13</v>
      </c>
      <c r="R28">
        <v>47.79</v>
      </c>
      <c r="S28">
        <v>35.43</v>
      </c>
      <c r="T28">
        <v>5122.18</v>
      </c>
      <c r="U28">
        <v>0.74</v>
      </c>
      <c r="V28">
        <v>0.87</v>
      </c>
      <c r="W28">
        <v>2.99</v>
      </c>
      <c r="X28">
        <v>0.32</v>
      </c>
      <c r="Y28">
        <v>1</v>
      </c>
      <c r="Z28">
        <v>10</v>
      </c>
    </row>
    <row r="29" spans="1:26" x14ac:dyDescent="0.3">
      <c r="A29">
        <v>27</v>
      </c>
      <c r="B29">
        <v>105</v>
      </c>
      <c r="C29" t="s">
        <v>26</v>
      </c>
      <c r="D29">
        <v>6.1505000000000001</v>
      </c>
      <c r="E29">
        <v>16.260000000000002</v>
      </c>
      <c r="F29">
        <v>13.05</v>
      </c>
      <c r="G29">
        <v>48.92</v>
      </c>
      <c r="H29">
        <v>0.64</v>
      </c>
      <c r="I29">
        <v>16</v>
      </c>
      <c r="J29">
        <v>214.83</v>
      </c>
      <c r="K29">
        <v>55.27</v>
      </c>
      <c r="L29">
        <v>7.75</v>
      </c>
      <c r="M29">
        <v>14</v>
      </c>
      <c r="N29">
        <v>46.81</v>
      </c>
      <c r="O29">
        <v>26729.83</v>
      </c>
      <c r="P29">
        <v>160.82</v>
      </c>
      <c r="Q29">
        <v>988.09</v>
      </c>
      <c r="R29">
        <v>46.8</v>
      </c>
      <c r="S29">
        <v>35.43</v>
      </c>
      <c r="T29">
        <v>4633.4399999999996</v>
      </c>
      <c r="U29">
        <v>0.76</v>
      </c>
      <c r="V29">
        <v>0.87</v>
      </c>
      <c r="W29">
        <v>2.99</v>
      </c>
      <c r="X29">
        <v>0.28999999999999998</v>
      </c>
      <c r="Y29">
        <v>1</v>
      </c>
      <c r="Z29">
        <v>10</v>
      </c>
    </row>
    <row r="30" spans="1:26" x14ac:dyDescent="0.3">
      <c r="A30">
        <v>28</v>
      </c>
      <c r="B30">
        <v>105</v>
      </c>
      <c r="C30" t="s">
        <v>26</v>
      </c>
      <c r="D30">
        <v>6.1436999999999999</v>
      </c>
      <c r="E30">
        <v>16.28</v>
      </c>
      <c r="F30">
        <v>13.06</v>
      </c>
      <c r="G30">
        <v>48.99</v>
      </c>
      <c r="H30">
        <v>0.66</v>
      </c>
      <c r="I30">
        <v>16</v>
      </c>
      <c r="J30">
        <v>215.24</v>
      </c>
      <c r="K30">
        <v>55.27</v>
      </c>
      <c r="L30">
        <v>8</v>
      </c>
      <c r="M30">
        <v>14</v>
      </c>
      <c r="N30">
        <v>46.97</v>
      </c>
      <c r="O30">
        <v>26780.06</v>
      </c>
      <c r="P30">
        <v>160.34</v>
      </c>
      <c r="Q30">
        <v>988.15</v>
      </c>
      <c r="R30">
        <v>47.42</v>
      </c>
      <c r="S30">
        <v>35.43</v>
      </c>
      <c r="T30">
        <v>4941.46</v>
      </c>
      <c r="U30">
        <v>0.75</v>
      </c>
      <c r="V30">
        <v>0.87</v>
      </c>
      <c r="W30">
        <v>2.99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105</v>
      </c>
      <c r="C31" t="s">
        <v>26</v>
      </c>
      <c r="D31">
        <v>6.1657999999999999</v>
      </c>
      <c r="E31">
        <v>16.22</v>
      </c>
      <c r="F31">
        <v>13.05</v>
      </c>
      <c r="G31">
        <v>52.18</v>
      </c>
      <c r="H31">
        <v>0.68</v>
      </c>
      <c r="I31">
        <v>15</v>
      </c>
      <c r="J31">
        <v>215.65</v>
      </c>
      <c r="K31">
        <v>55.27</v>
      </c>
      <c r="L31">
        <v>8.25</v>
      </c>
      <c r="M31">
        <v>13</v>
      </c>
      <c r="N31">
        <v>47.12</v>
      </c>
      <c r="O31">
        <v>26830.34</v>
      </c>
      <c r="P31">
        <v>158.84</v>
      </c>
      <c r="Q31">
        <v>988.09</v>
      </c>
      <c r="R31">
        <v>46.71</v>
      </c>
      <c r="S31">
        <v>35.43</v>
      </c>
      <c r="T31">
        <v>4590.9399999999996</v>
      </c>
      <c r="U31">
        <v>0.76</v>
      </c>
      <c r="V31">
        <v>0.87</v>
      </c>
      <c r="W31">
        <v>2.99</v>
      </c>
      <c r="X31">
        <v>0.28999999999999998</v>
      </c>
      <c r="Y31">
        <v>1</v>
      </c>
      <c r="Z31">
        <v>10</v>
      </c>
    </row>
    <row r="32" spans="1:26" x14ac:dyDescent="0.3">
      <c r="A32">
        <v>30</v>
      </c>
      <c r="B32">
        <v>105</v>
      </c>
      <c r="C32" t="s">
        <v>26</v>
      </c>
      <c r="D32">
        <v>6.1726999999999999</v>
      </c>
      <c r="E32">
        <v>16.2</v>
      </c>
      <c r="F32">
        <v>13.03</v>
      </c>
      <c r="G32">
        <v>52.11</v>
      </c>
      <c r="H32">
        <v>0.7</v>
      </c>
      <c r="I32">
        <v>15</v>
      </c>
      <c r="J32">
        <v>216.05</v>
      </c>
      <c r="K32">
        <v>55.27</v>
      </c>
      <c r="L32">
        <v>8.5</v>
      </c>
      <c r="M32">
        <v>13</v>
      </c>
      <c r="N32">
        <v>47.28</v>
      </c>
      <c r="O32">
        <v>26880.68</v>
      </c>
      <c r="P32">
        <v>157.78</v>
      </c>
      <c r="Q32">
        <v>988.22</v>
      </c>
      <c r="R32">
        <v>46.18</v>
      </c>
      <c r="S32">
        <v>35.43</v>
      </c>
      <c r="T32">
        <v>4327</v>
      </c>
      <c r="U32">
        <v>0.77</v>
      </c>
      <c r="V32">
        <v>0.87</v>
      </c>
      <c r="W32">
        <v>2.99</v>
      </c>
      <c r="X32">
        <v>0.27</v>
      </c>
      <c r="Y32">
        <v>1</v>
      </c>
      <c r="Z32">
        <v>10</v>
      </c>
    </row>
    <row r="33" spans="1:26" x14ac:dyDescent="0.3">
      <c r="A33">
        <v>31</v>
      </c>
      <c r="B33">
        <v>105</v>
      </c>
      <c r="C33" t="s">
        <v>26</v>
      </c>
      <c r="D33">
        <v>6.1954000000000002</v>
      </c>
      <c r="E33">
        <v>16.14</v>
      </c>
      <c r="F33">
        <v>13.01</v>
      </c>
      <c r="G33">
        <v>55.75</v>
      </c>
      <c r="H33">
        <v>0.72</v>
      </c>
      <c r="I33">
        <v>14</v>
      </c>
      <c r="J33">
        <v>216.46</v>
      </c>
      <c r="K33">
        <v>55.27</v>
      </c>
      <c r="L33">
        <v>8.75</v>
      </c>
      <c r="M33">
        <v>12</v>
      </c>
      <c r="N33">
        <v>47.44</v>
      </c>
      <c r="O33">
        <v>26931.07</v>
      </c>
      <c r="P33">
        <v>156.19</v>
      </c>
      <c r="Q33">
        <v>988.14</v>
      </c>
      <c r="R33">
        <v>45.64</v>
      </c>
      <c r="S33">
        <v>35.43</v>
      </c>
      <c r="T33">
        <v>4060.65</v>
      </c>
      <c r="U33">
        <v>0.78</v>
      </c>
      <c r="V33">
        <v>0.88</v>
      </c>
      <c r="W33">
        <v>2.99</v>
      </c>
      <c r="X33">
        <v>0.25</v>
      </c>
      <c r="Y33">
        <v>1</v>
      </c>
      <c r="Z33">
        <v>10</v>
      </c>
    </row>
    <row r="34" spans="1:26" x14ac:dyDescent="0.3">
      <c r="A34">
        <v>32</v>
      </c>
      <c r="B34">
        <v>105</v>
      </c>
      <c r="C34" t="s">
        <v>26</v>
      </c>
      <c r="D34">
        <v>6.1992000000000003</v>
      </c>
      <c r="E34">
        <v>16.13</v>
      </c>
      <c r="F34">
        <v>13</v>
      </c>
      <c r="G34">
        <v>55.71</v>
      </c>
      <c r="H34">
        <v>0.74</v>
      </c>
      <c r="I34">
        <v>14</v>
      </c>
      <c r="J34">
        <v>216.87</v>
      </c>
      <c r="K34">
        <v>55.27</v>
      </c>
      <c r="L34">
        <v>9</v>
      </c>
      <c r="M34">
        <v>12</v>
      </c>
      <c r="N34">
        <v>47.6</v>
      </c>
      <c r="O34">
        <v>26981.51</v>
      </c>
      <c r="P34">
        <v>155.13</v>
      </c>
      <c r="Q34">
        <v>988.13</v>
      </c>
      <c r="R34">
        <v>45.27</v>
      </c>
      <c r="S34">
        <v>35.43</v>
      </c>
      <c r="T34">
        <v>3875.39</v>
      </c>
      <c r="U34">
        <v>0.78</v>
      </c>
      <c r="V34">
        <v>0.88</v>
      </c>
      <c r="W34">
        <v>2.99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105</v>
      </c>
      <c r="C35" t="s">
        <v>26</v>
      </c>
      <c r="D35">
        <v>6.2172999999999998</v>
      </c>
      <c r="E35">
        <v>16.079999999999998</v>
      </c>
      <c r="F35">
        <v>12.99</v>
      </c>
      <c r="G35">
        <v>59.96</v>
      </c>
      <c r="H35">
        <v>0.76</v>
      </c>
      <c r="I35">
        <v>13</v>
      </c>
      <c r="J35">
        <v>217.28</v>
      </c>
      <c r="K35">
        <v>55.27</v>
      </c>
      <c r="L35">
        <v>9.25</v>
      </c>
      <c r="M35">
        <v>11</v>
      </c>
      <c r="N35">
        <v>47.76</v>
      </c>
      <c r="O35">
        <v>27032.02</v>
      </c>
      <c r="P35">
        <v>153.35</v>
      </c>
      <c r="Q35">
        <v>988.08</v>
      </c>
      <c r="R35">
        <v>45.28</v>
      </c>
      <c r="S35">
        <v>35.43</v>
      </c>
      <c r="T35">
        <v>3886.01</v>
      </c>
      <c r="U35">
        <v>0.78</v>
      </c>
      <c r="V35">
        <v>0.88</v>
      </c>
      <c r="W35">
        <v>2.98</v>
      </c>
      <c r="X35">
        <v>0.24</v>
      </c>
      <c r="Y35">
        <v>1</v>
      </c>
      <c r="Z35">
        <v>10</v>
      </c>
    </row>
    <row r="36" spans="1:26" x14ac:dyDescent="0.3">
      <c r="A36">
        <v>34</v>
      </c>
      <c r="B36">
        <v>105</v>
      </c>
      <c r="C36" t="s">
        <v>26</v>
      </c>
      <c r="D36">
        <v>6.2171000000000003</v>
      </c>
      <c r="E36">
        <v>16.079999999999998</v>
      </c>
      <c r="F36">
        <v>12.99</v>
      </c>
      <c r="G36">
        <v>59.97</v>
      </c>
      <c r="H36">
        <v>0.78</v>
      </c>
      <c r="I36">
        <v>13</v>
      </c>
      <c r="J36">
        <v>217.69</v>
      </c>
      <c r="K36">
        <v>55.27</v>
      </c>
      <c r="L36">
        <v>9.5</v>
      </c>
      <c r="M36">
        <v>11</v>
      </c>
      <c r="N36">
        <v>47.92</v>
      </c>
      <c r="O36">
        <v>27082.57</v>
      </c>
      <c r="P36">
        <v>152.41</v>
      </c>
      <c r="Q36">
        <v>988.15</v>
      </c>
      <c r="R36">
        <v>45.11</v>
      </c>
      <c r="S36">
        <v>35.43</v>
      </c>
      <c r="T36">
        <v>3803.09</v>
      </c>
      <c r="U36">
        <v>0.79</v>
      </c>
      <c r="V36">
        <v>0.88</v>
      </c>
      <c r="W36">
        <v>2.99</v>
      </c>
      <c r="X36">
        <v>0.24</v>
      </c>
      <c r="Y36">
        <v>1</v>
      </c>
      <c r="Z36">
        <v>10</v>
      </c>
    </row>
    <row r="37" spans="1:26" x14ac:dyDescent="0.3">
      <c r="A37">
        <v>35</v>
      </c>
      <c r="B37">
        <v>105</v>
      </c>
      <c r="C37" t="s">
        <v>26</v>
      </c>
      <c r="D37">
        <v>6.2390999999999996</v>
      </c>
      <c r="E37">
        <v>16.03</v>
      </c>
      <c r="F37">
        <v>12.98</v>
      </c>
      <c r="G37">
        <v>64.88</v>
      </c>
      <c r="H37">
        <v>0.79</v>
      </c>
      <c r="I37">
        <v>12</v>
      </c>
      <c r="J37">
        <v>218.1</v>
      </c>
      <c r="K37">
        <v>55.27</v>
      </c>
      <c r="L37">
        <v>9.75</v>
      </c>
      <c r="M37">
        <v>10</v>
      </c>
      <c r="N37">
        <v>48.08</v>
      </c>
      <c r="O37">
        <v>27133.18</v>
      </c>
      <c r="P37">
        <v>150</v>
      </c>
      <c r="Q37">
        <v>988.08</v>
      </c>
      <c r="R37">
        <v>44.51</v>
      </c>
      <c r="S37">
        <v>35.43</v>
      </c>
      <c r="T37">
        <v>3506.85</v>
      </c>
      <c r="U37">
        <v>0.8</v>
      </c>
      <c r="V37">
        <v>0.88</v>
      </c>
      <c r="W37">
        <v>2.99</v>
      </c>
      <c r="X37">
        <v>0.22</v>
      </c>
      <c r="Y37">
        <v>1</v>
      </c>
      <c r="Z37">
        <v>10</v>
      </c>
    </row>
    <row r="38" spans="1:26" x14ac:dyDescent="0.3">
      <c r="A38">
        <v>36</v>
      </c>
      <c r="B38">
        <v>105</v>
      </c>
      <c r="C38" t="s">
        <v>26</v>
      </c>
      <c r="D38">
        <v>6.2405999999999997</v>
      </c>
      <c r="E38">
        <v>16.02</v>
      </c>
      <c r="F38">
        <v>12.97</v>
      </c>
      <c r="G38">
        <v>64.86</v>
      </c>
      <c r="H38">
        <v>0.81</v>
      </c>
      <c r="I38">
        <v>12</v>
      </c>
      <c r="J38">
        <v>218.51</v>
      </c>
      <c r="K38">
        <v>55.27</v>
      </c>
      <c r="L38">
        <v>10</v>
      </c>
      <c r="M38">
        <v>10</v>
      </c>
      <c r="N38">
        <v>48.24</v>
      </c>
      <c r="O38">
        <v>27183.85</v>
      </c>
      <c r="P38">
        <v>148.97999999999999</v>
      </c>
      <c r="Q38">
        <v>988.08</v>
      </c>
      <c r="R38">
        <v>44.56</v>
      </c>
      <c r="S38">
        <v>35.43</v>
      </c>
      <c r="T38">
        <v>3530.96</v>
      </c>
      <c r="U38">
        <v>0.8</v>
      </c>
      <c r="V38">
        <v>0.88</v>
      </c>
      <c r="W38">
        <v>2.98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105</v>
      </c>
      <c r="C39" t="s">
        <v>26</v>
      </c>
      <c r="D39">
        <v>6.2434000000000003</v>
      </c>
      <c r="E39">
        <v>16.02</v>
      </c>
      <c r="F39">
        <v>12.97</v>
      </c>
      <c r="G39">
        <v>64.83</v>
      </c>
      <c r="H39">
        <v>0.83</v>
      </c>
      <c r="I39">
        <v>12</v>
      </c>
      <c r="J39">
        <v>218.92</v>
      </c>
      <c r="K39">
        <v>55.27</v>
      </c>
      <c r="L39">
        <v>10.25</v>
      </c>
      <c r="M39">
        <v>9</v>
      </c>
      <c r="N39">
        <v>48.4</v>
      </c>
      <c r="O39">
        <v>27234.57</v>
      </c>
      <c r="P39">
        <v>148.31</v>
      </c>
      <c r="Q39">
        <v>988.08</v>
      </c>
      <c r="R39">
        <v>44.27</v>
      </c>
      <c r="S39">
        <v>35.43</v>
      </c>
      <c r="T39">
        <v>3384.45</v>
      </c>
      <c r="U39">
        <v>0.8</v>
      </c>
      <c r="V39">
        <v>0.88</v>
      </c>
      <c r="W39">
        <v>2.98</v>
      </c>
      <c r="X39">
        <v>0.21</v>
      </c>
      <c r="Y39">
        <v>1</v>
      </c>
      <c r="Z39">
        <v>10</v>
      </c>
    </row>
    <row r="40" spans="1:26" x14ac:dyDescent="0.3">
      <c r="A40">
        <v>38</v>
      </c>
      <c r="B40">
        <v>105</v>
      </c>
      <c r="C40" t="s">
        <v>26</v>
      </c>
      <c r="D40">
        <v>6.2401</v>
      </c>
      <c r="E40">
        <v>16.03</v>
      </c>
      <c r="F40">
        <v>12.97</v>
      </c>
      <c r="G40">
        <v>64.87</v>
      </c>
      <c r="H40">
        <v>0.85</v>
      </c>
      <c r="I40">
        <v>12</v>
      </c>
      <c r="J40">
        <v>219.33</v>
      </c>
      <c r="K40">
        <v>55.27</v>
      </c>
      <c r="L40">
        <v>10.5</v>
      </c>
      <c r="M40">
        <v>8</v>
      </c>
      <c r="N40">
        <v>48.56</v>
      </c>
      <c r="O40">
        <v>27285.35</v>
      </c>
      <c r="P40">
        <v>146.69</v>
      </c>
      <c r="Q40">
        <v>988.08</v>
      </c>
      <c r="R40">
        <v>44.52</v>
      </c>
      <c r="S40">
        <v>35.43</v>
      </c>
      <c r="T40">
        <v>3511.97</v>
      </c>
      <c r="U40">
        <v>0.8</v>
      </c>
      <c r="V40">
        <v>0.88</v>
      </c>
      <c r="W40">
        <v>2.99</v>
      </c>
      <c r="X40">
        <v>0.22</v>
      </c>
      <c r="Y40">
        <v>1</v>
      </c>
      <c r="Z40">
        <v>10</v>
      </c>
    </row>
    <row r="41" spans="1:26" x14ac:dyDescent="0.3">
      <c r="A41">
        <v>39</v>
      </c>
      <c r="B41">
        <v>105</v>
      </c>
      <c r="C41" t="s">
        <v>26</v>
      </c>
      <c r="D41">
        <v>6.2607999999999997</v>
      </c>
      <c r="E41">
        <v>15.97</v>
      </c>
      <c r="F41">
        <v>12.96</v>
      </c>
      <c r="G41">
        <v>70.7</v>
      </c>
      <c r="H41">
        <v>0.87</v>
      </c>
      <c r="I41">
        <v>11</v>
      </c>
      <c r="J41">
        <v>219.75</v>
      </c>
      <c r="K41">
        <v>55.27</v>
      </c>
      <c r="L41">
        <v>10.75</v>
      </c>
      <c r="M41">
        <v>5</v>
      </c>
      <c r="N41">
        <v>48.72</v>
      </c>
      <c r="O41">
        <v>27336.19</v>
      </c>
      <c r="P41">
        <v>146.37</v>
      </c>
      <c r="Q41">
        <v>988.12</v>
      </c>
      <c r="R41">
        <v>44.13</v>
      </c>
      <c r="S41">
        <v>35.43</v>
      </c>
      <c r="T41">
        <v>3319.33</v>
      </c>
      <c r="U41">
        <v>0.8</v>
      </c>
      <c r="V41">
        <v>0.88</v>
      </c>
      <c r="W41">
        <v>2.99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105</v>
      </c>
      <c r="C42" t="s">
        <v>26</v>
      </c>
      <c r="D42">
        <v>6.2591000000000001</v>
      </c>
      <c r="E42">
        <v>15.98</v>
      </c>
      <c r="F42">
        <v>12.97</v>
      </c>
      <c r="G42">
        <v>70.72</v>
      </c>
      <c r="H42">
        <v>0.89</v>
      </c>
      <c r="I42">
        <v>11</v>
      </c>
      <c r="J42">
        <v>220.16</v>
      </c>
      <c r="K42">
        <v>55.27</v>
      </c>
      <c r="L42">
        <v>11</v>
      </c>
      <c r="M42">
        <v>4</v>
      </c>
      <c r="N42">
        <v>48.89</v>
      </c>
      <c r="O42">
        <v>27387.08</v>
      </c>
      <c r="P42">
        <v>145.85</v>
      </c>
      <c r="Q42">
        <v>988.13</v>
      </c>
      <c r="R42">
        <v>44.1</v>
      </c>
      <c r="S42">
        <v>35.43</v>
      </c>
      <c r="T42">
        <v>3305.68</v>
      </c>
      <c r="U42">
        <v>0.8</v>
      </c>
      <c r="V42">
        <v>0.88</v>
      </c>
      <c r="W42">
        <v>2.99</v>
      </c>
      <c r="X42">
        <v>0.21</v>
      </c>
      <c r="Y42">
        <v>1</v>
      </c>
      <c r="Z42">
        <v>10</v>
      </c>
    </row>
    <row r="43" spans="1:26" x14ac:dyDescent="0.3">
      <c r="A43">
        <v>41</v>
      </c>
      <c r="B43">
        <v>105</v>
      </c>
      <c r="C43" t="s">
        <v>26</v>
      </c>
      <c r="D43">
        <v>6.2554999999999996</v>
      </c>
      <c r="E43">
        <v>15.99</v>
      </c>
      <c r="F43">
        <v>12.97</v>
      </c>
      <c r="G43">
        <v>70.77</v>
      </c>
      <c r="H43">
        <v>0.91</v>
      </c>
      <c r="I43">
        <v>11</v>
      </c>
      <c r="J43">
        <v>220.57</v>
      </c>
      <c r="K43">
        <v>55.27</v>
      </c>
      <c r="L43">
        <v>11.25</v>
      </c>
      <c r="M43">
        <v>3</v>
      </c>
      <c r="N43">
        <v>49.05</v>
      </c>
      <c r="O43">
        <v>27438.03</v>
      </c>
      <c r="P43">
        <v>145.82</v>
      </c>
      <c r="Q43">
        <v>988.11</v>
      </c>
      <c r="R43">
        <v>44.51</v>
      </c>
      <c r="S43">
        <v>35.43</v>
      </c>
      <c r="T43">
        <v>3512.76</v>
      </c>
      <c r="U43">
        <v>0.8</v>
      </c>
      <c r="V43">
        <v>0.88</v>
      </c>
      <c r="W43">
        <v>2.99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105</v>
      </c>
      <c r="C44" t="s">
        <v>26</v>
      </c>
      <c r="D44">
        <v>6.2549000000000001</v>
      </c>
      <c r="E44">
        <v>15.99</v>
      </c>
      <c r="F44">
        <v>12.98</v>
      </c>
      <c r="G44">
        <v>70.78</v>
      </c>
      <c r="H44">
        <v>0.92</v>
      </c>
      <c r="I44">
        <v>11</v>
      </c>
      <c r="J44">
        <v>220.99</v>
      </c>
      <c r="K44">
        <v>55.27</v>
      </c>
      <c r="L44">
        <v>11.5</v>
      </c>
      <c r="M44">
        <v>0</v>
      </c>
      <c r="N44">
        <v>49.21</v>
      </c>
      <c r="O44">
        <v>27489.03</v>
      </c>
      <c r="P44">
        <v>145.88</v>
      </c>
      <c r="Q44">
        <v>988.08</v>
      </c>
      <c r="R44">
        <v>44.37</v>
      </c>
      <c r="S44">
        <v>35.43</v>
      </c>
      <c r="T44">
        <v>3442.42</v>
      </c>
      <c r="U44">
        <v>0.8</v>
      </c>
      <c r="V44">
        <v>0.88</v>
      </c>
      <c r="W44">
        <v>2.99</v>
      </c>
      <c r="X44">
        <v>0.22</v>
      </c>
      <c r="Y44">
        <v>1</v>
      </c>
      <c r="Z4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ilha14"/>
  <dimension ref="A1:Z2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60</v>
      </c>
      <c r="C2" t="s">
        <v>26</v>
      </c>
      <c r="D2">
        <v>5.0082000000000004</v>
      </c>
      <c r="E2">
        <v>19.97</v>
      </c>
      <c r="F2">
        <v>15</v>
      </c>
      <c r="G2">
        <v>8.11</v>
      </c>
      <c r="H2">
        <v>0.14000000000000001</v>
      </c>
      <c r="I2">
        <v>111</v>
      </c>
      <c r="J2">
        <v>124.63</v>
      </c>
      <c r="K2">
        <v>45</v>
      </c>
      <c r="L2">
        <v>1</v>
      </c>
      <c r="M2">
        <v>109</v>
      </c>
      <c r="N2">
        <v>18.64</v>
      </c>
      <c r="O2">
        <v>15605.44</v>
      </c>
      <c r="P2">
        <v>153.25</v>
      </c>
      <c r="Q2">
        <v>988.7</v>
      </c>
      <c r="R2">
        <v>107.48</v>
      </c>
      <c r="S2">
        <v>35.43</v>
      </c>
      <c r="T2">
        <v>34494.18</v>
      </c>
      <c r="U2">
        <v>0.33</v>
      </c>
      <c r="V2">
        <v>0.76</v>
      </c>
      <c r="W2">
        <v>3.15</v>
      </c>
      <c r="X2">
        <v>2.2400000000000002</v>
      </c>
      <c r="Y2">
        <v>1</v>
      </c>
      <c r="Z2">
        <v>10</v>
      </c>
    </row>
    <row r="3" spans="1:26" x14ac:dyDescent="0.3">
      <c r="A3">
        <v>1</v>
      </c>
      <c r="B3">
        <v>60</v>
      </c>
      <c r="C3" t="s">
        <v>26</v>
      </c>
      <c r="D3">
        <v>5.3333000000000004</v>
      </c>
      <c r="E3">
        <v>18.75</v>
      </c>
      <c r="F3">
        <v>14.45</v>
      </c>
      <c r="G3">
        <v>10.199999999999999</v>
      </c>
      <c r="H3">
        <v>0.18</v>
      </c>
      <c r="I3">
        <v>85</v>
      </c>
      <c r="J3">
        <v>124.96</v>
      </c>
      <c r="K3">
        <v>45</v>
      </c>
      <c r="L3">
        <v>1.25</v>
      </c>
      <c r="M3">
        <v>83</v>
      </c>
      <c r="N3">
        <v>18.71</v>
      </c>
      <c r="O3">
        <v>15645.96</v>
      </c>
      <c r="P3">
        <v>146</v>
      </c>
      <c r="Q3">
        <v>988.29</v>
      </c>
      <c r="R3">
        <v>90.36</v>
      </c>
      <c r="S3">
        <v>35.43</v>
      </c>
      <c r="T3">
        <v>26064.59</v>
      </c>
      <c r="U3">
        <v>0.39</v>
      </c>
      <c r="V3">
        <v>0.79</v>
      </c>
      <c r="W3">
        <v>3.1</v>
      </c>
      <c r="X3">
        <v>1.69</v>
      </c>
      <c r="Y3">
        <v>1</v>
      </c>
      <c r="Z3">
        <v>10</v>
      </c>
    </row>
    <row r="4" spans="1:26" x14ac:dyDescent="0.3">
      <c r="A4">
        <v>2</v>
      </c>
      <c r="B4">
        <v>60</v>
      </c>
      <c r="C4" t="s">
        <v>26</v>
      </c>
      <c r="D4">
        <v>5.5500999999999996</v>
      </c>
      <c r="E4">
        <v>18.02</v>
      </c>
      <c r="F4">
        <v>14.12</v>
      </c>
      <c r="G4">
        <v>12.28</v>
      </c>
      <c r="H4">
        <v>0.21</v>
      </c>
      <c r="I4">
        <v>69</v>
      </c>
      <c r="J4">
        <v>125.29</v>
      </c>
      <c r="K4">
        <v>45</v>
      </c>
      <c r="L4">
        <v>1.5</v>
      </c>
      <c r="M4">
        <v>67</v>
      </c>
      <c r="N4">
        <v>18.79</v>
      </c>
      <c r="O4">
        <v>15686.51</v>
      </c>
      <c r="P4">
        <v>141</v>
      </c>
      <c r="Q4">
        <v>988.3</v>
      </c>
      <c r="R4">
        <v>80.180000000000007</v>
      </c>
      <c r="S4">
        <v>35.43</v>
      </c>
      <c r="T4">
        <v>21054.66</v>
      </c>
      <c r="U4">
        <v>0.44</v>
      </c>
      <c r="V4">
        <v>0.81</v>
      </c>
      <c r="W4">
        <v>3.08</v>
      </c>
      <c r="X4">
        <v>1.37</v>
      </c>
      <c r="Y4">
        <v>1</v>
      </c>
      <c r="Z4">
        <v>10</v>
      </c>
    </row>
    <row r="5" spans="1:26" x14ac:dyDescent="0.3">
      <c r="A5">
        <v>3</v>
      </c>
      <c r="B5">
        <v>60</v>
      </c>
      <c r="C5" t="s">
        <v>26</v>
      </c>
      <c r="D5">
        <v>5.7225999999999999</v>
      </c>
      <c r="E5">
        <v>17.47</v>
      </c>
      <c r="F5">
        <v>13.89</v>
      </c>
      <c r="G5">
        <v>14.62</v>
      </c>
      <c r="H5">
        <v>0.25</v>
      </c>
      <c r="I5">
        <v>57</v>
      </c>
      <c r="J5">
        <v>125.62</v>
      </c>
      <c r="K5">
        <v>45</v>
      </c>
      <c r="L5">
        <v>1.75</v>
      </c>
      <c r="M5">
        <v>55</v>
      </c>
      <c r="N5">
        <v>18.87</v>
      </c>
      <c r="O5">
        <v>15727.09</v>
      </c>
      <c r="P5">
        <v>136.91</v>
      </c>
      <c r="Q5">
        <v>988.27</v>
      </c>
      <c r="R5">
        <v>72.87</v>
      </c>
      <c r="S5">
        <v>35.43</v>
      </c>
      <c r="T5">
        <v>17461.02</v>
      </c>
      <c r="U5">
        <v>0.49</v>
      </c>
      <c r="V5">
        <v>0.82</v>
      </c>
      <c r="W5">
        <v>3.06</v>
      </c>
      <c r="X5">
        <v>1.1299999999999999</v>
      </c>
      <c r="Y5">
        <v>1</v>
      </c>
      <c r="Z5">
        <v>10</v>
      </c>
    </row>
    <row r="6" spans="1:26" x14ac:dyDescent="0.3">
      <c r="A6">
        <v>4</v>
      </c>
      <c r="B6">
        <v>60</v>
      </c>
      <c r="C6" t="s">
        <v>26</v>
      </c>
      <c r="D6">
        <v>5.8464999999999998</v>
      </c>
      <c r="E6">
        <v>17.100000000000001</v>
      </c>
      <c r="F6">
        <v>13.72</v>
      </c>
      <c r="G6">
        <v>16.8</v>
      </c>
      <c r="H6">
        <v>0.28000000000000003</v>
      </c>
      <c r="I6">
        <v>49</v>
      </c>
      <c r="J6">
        <v>125.95</v>
      </c>
      <c r="K6">
        <v>45</v>
      </c>
      <c r="L6">
        <v>2</v>
      </c>
      <c r="M6">
        <v>47</v>
      </c>
      <c r="N6">
        <v>18.95</v>
      </c>
      <c r="O6">
        <v>15767.7</v>
      </c>
      <c r="P6">
        <v>133.66999999999999</v>
      </c>
      <c r="Q6">
        <v>988.26</v>
      </c>
      <c r="R6">
        <v>67.400000000000006</v>
      </c>
      <c r="S6">
        <v>35.43</v>
      </c>
      <c r="T6">
        <v>14765.22</v>
      </c>
      <c r="U6">
        <v>0.53</v>
      </c>
      <c r="V6">
        <v>0.83</v>
      </c>
      <c r="W6">
        <v>3.05</v>
      </c>
      <c r="X6">
        <v>0.96</v>
      </c>
      <c r="Y6">
        <v>1</v>
      </c>
      <c r="Z6">
        <v>10</v>
      </c>
    </row>
    <row r="7" spans="1:26" x14ac:dyDescent="0.3">
      <c r="A7">
        <v>5</v>
      </c>
      <c r="B7">
        <v>60</v>
      </c>
      <c r="C7" t="s">
        <v>26</v>
      </c>
      <c r="D7">
        <v>5.94</v>
      </c>
      <c r="E7">
        <v>16.84</v>
      </c>
      <c r="F7">
        <v>13.6</v>
      </c>
      <c r="G7">
        <v>18.98</v>
      </c>
      <c r="H7">
        <v>0.31</v>
      </c>
      <c r="I7">
        <v>43</v>
      </c>
      <c r="J7">
        <v>126.28</v>
      </c>
      <c r="K7">
        <v>45</v>
      </c>
      <c r="L7">
        <v>2.25</v>
      </c>
      <c r="M7">
        <v>41</v>
      </c>
      <c r="N7">
        <v>19.03</v>
      </c>
      <c r="O7">
        <v>15808.34</v>
      </c>
      <c r="P7">
        <v>130.83000000000001</v>
      </c>
      <c r="Q7">
        <v>988.1</v>
      </c>
      <c r="R7">
        <v>63.96</v>
      </c>
      <c r="S7">
        <v>35.43</v>
      </c>
      <c r="T7">
        <v>13077.22</v>
      </c>
      <c r="U7">
        <v>0.55000000000000004</v>
      </c>
      <c r="V7">
        <v>0.84</v>
      </c>
      <c r="W7">
        <v>3.04</v>
      </c>
      <c r="X7">
        <v>0.85</v>
      </c>
      <c r="Y7">
        <v>1</v>
      </c>
      <c r="Z7">
        <v>10</v>
      </c>
    </row>
    <row r="8" spans="1:26" x14ac:dyDescent="0.3">
      <c r="A8">
        <v>6</v>
      </c>
      <c r="B8">
        <v>60</v>
      </c>
      <c r="C8" t="s">
        <v>26</v>
      </c>
      <c r="D8">
        <v>6.0301999999999998</v>
      </c>
      <c r="E8">
        <v>16.579999999999998</v>
      </c>
      <c r="F8">
        <v>13.48</v>
      </c>
      <c r="G8">
        <v>21.28</v>
      </c>
      <c r="H8">
        <v>0.35</v>
      </c>
      <c r="I8">
        <v>38</v>
      </c>
      <c r="J8">
        <v>126.61</v>
      </c>
      <c r="K8">
        <v>45</v>
      </c>
      <c r="L8">
        <v>2.5</v>
      </c>
      <c r="M8">
        <v>36</v>
      </c>
      <c r="N8">
        <v>19.11</v>
      </c>
      <c r="O8">
        <v>15849</v>
      </c>
      <c r="P8">
        <v>127.8</v>
      </c>
      <c r="Q8">
        <v>988.21</v>
      </c>
      <c r="R8">
        <v>60.61</v>
      </c>
      <c r="S8">
        <v>35.43</v>
      </c>
      <c r="T8">
        <v>11428.46</v>
      </c>
      <c r="U8">
        <v>0.57999999999999996</v>
      </c>
      <c r="V8">
        <v>0.85</v>
      </c>
      <c r="W8">
        <v>3.02</v>
      </c>
      <c r="X8">
        <v>0.73</v>
      </c>
      <c r="Y8">
        <v>1</v>
      </c>
      <c r="Z8">
        <v>10</v>
      </c>
    </row>
    <row r="9" spans="1:26" x14ac:dyDescent="0.3">
      <c r="A9">
        <v>7</v>
      </c>
      <c r="B9">
        <v>60</v>
      </c>
      <c r="C9" t="s">
        <v>26</v>
      </c>
      <c r="D9">
        <v>6.0883000000000003</v>
      </c>
      <c r="E9">
        <v>16.420000000000002</v>
      </c>
      <c r="F9">
        <v>13.42</v>
      </c>
      <c r="G9">
        <v>23.69</v>
      </c>
      <c r="H9">
        <v>0.38</v>
      </c>
      <c r="I9">
        <v>34</v>
      </c>
      <c r="J9">
        <v>126.94</v>
      </c>
      <c r="K9">
        <v>45</v>
      </c>
      <c r="L9">
        <v>2.75</v>
      </c>
      <c r="M9">
        <v>32</v>
      </c>
      <c r="N9">
        <v>19.190000000000001</v>
      </c>
      <c r="O9">
        <v>15889.69</v>
      </c>
      <c r="P9">
        <v>125.55</v>
      </c>
      <c r="Q9">
        <v>988.36</v>
      </c>
      <c r="R9">
        <v>58.54</v>
      </c>
      <c r="S9">
        <v>35.43</v>
      </c>
      <c r="T9">
        <v>10410.08</v>
      </c>
      <c r="U9">
        <v>0.61</v>
      </c>
      <c r="V9">
        <v>0.85</v>
      </c>
      <c r="W9">
        <v>3.02</v>
      </c>
      <c r="X9">
        <v>0.67</v>
      </c>
      <c r="Y9">
        <v>1</v>
      </c>
      <c r="Z9">
        <v>10</v>
      </c>
    </row>
    <row r="10" spans="1:26" x14ac:dyDescent="0.3">
      <c r="A10">
        <v>8</v>
      </c>
      <c r="B10">
        <v>60</v>
      </c>
      <c r="C10" t="s">
        <v>26</v>
      </c>
      <c r="D10">
        <v>6.1416000000000004</v>
      </c>
      <c r="E10">
        <v>16.28</v>
      </c>
      <c r="F10">
        <v>13.36</v>
      </c>
      <c r="G10">
        <v>25.85</v>
      </c>
      <c r="H10">
        <v>0.42</v>
      </c>
      <c r="I10">
        <v>31</v>
      </c>
      <c r="J10">
        <v>127.27</v>
      </c>
      <c r="K10">
        <v>45</v>
      </c>
      <c r="L10">
        <v>3</v>
      </c>
      <c r="M10">
        <v>29</v>
      </c>
      <c r="N10">
        <v>19.27</v>
      </c>
      <c r="O10">
        <v>15930.42</v>
      </c>
      <c r="P10">
        <v>123.17</v>
      </c>
      <c r="Q10">
        <v>988.18</v>
      </c>
      <c r="R10">
        <v>56.48</v>
      </c>
      <c r="S10">
        <v>35.43</v>
      </c>
      <c r="T10">
        <v>9393.9500000000007</v>
      </c>
      <c r="U10">
        <v>0.63</v>
      </c>
      <c r="V10">
        <v>0.85</v>
      </c>
      <c r="W10">
        <v>3.02</v>
      </c>
      <c r="X10">
        <v>0.6</v>
      </c>
      <c r="Y10">
        <v>1</v>
      </c>
      <c r="Z10">
        <v>10</v>
      </c>
    </row>
    <row r="11" spans="1:26" x14ac:dyDescent="0.3">
      <c r="A11">
        <v>9</v>
      </c>
      <c r="B11">
        <v>60</v>
      </c>
      <c r="C11" t="s">
        <v>26</v>
      </c>
      <c r="D11">
        <v>6.1944999999999997</v>
      </c>
      <c r="E11">
        <v>16.14</v>
      </c>
      <c r="F11">
        <v>13.3</v>
      </c>
      <c r="G11">
        <v>28.49</v>
      </c>
      <c r="H11">
        <v>0.45</v>
      </c>
      <c r="I11">
        <v>28</v>
      </c>
      <c r="J11">
        <v>127.6</v>
      </c>
      <c r="K11">
        <v>45</v>
      </c>
      <c r="L11">
        <v>3.25</v>
      </c>
      <c r="M11">
        <v>26</v>
      </c>
      <c r="N11">
        <v>19.350000000000001</v>
      </c>
      <c r="O11">
        <v>15971.17</v>
      </c>
      <c r="P11">
        <v>120.46</v>
      </c>
      <c r="Q11">
        <v>988.08</v>
      </c>
      <c r="R11">
        <v>54.55</v>
      </c>
      <c r="S11">
        <v>35.43</v>
      </c>
      <c r="T11">
        <v>8447.82</v>
      </c>
      <c r="U11">
        <v>0.65</v>
      </c>
      <c r="V11">
        <v>0.86</v>
      </c>
      <c r="W11">
        <v>3.01</v>
      </c>
      <c r="X11">
        <v>0.54</v>
      </c>
      <c r="Y11">
        <v>1</v>
      </c>
      <c r="Z11">
        <v>10</v>
      </c>
    </row>
    <row r="12" spans="1:26" x14ac:dyDescent="0.3">
      <c r="A12">
        <v>10</v>
      </c>
      <c r="B12">
        <v>60</v>
      </c>
      <c r="C12" t="s">
        <v>26</v>
      </c>
      <c r="D12">
        <v>6.2545000000000002</v>
      </c>
      <c r="E12">
        <v>15.99</v>
      </c>
      <c r="F12">
        <v>13.22</v>
      </c>
      <c r="G12">
        <v>31.72</v>
      </c>
      <c r="H12">
        <v>0.48</v>
      </c>
      <c r="I12">
        <v>25</v>
      </c>
      <c r="J12">
        <v>127.93</v>
      </c>
      <c r="K12">
        <v>45</v>
      </c>
      <c r="L12">
        <v>3.5</v>
      </c>
      <c r="M12">
        <v>23</v>
      </c>
      <c r="N12">
        <v>19.43</v>
      </c>
      <c r="O12">
        <v>16011.95</v>
      </c>
      <c r="P12">
        <v>117.39</v>
      </c>
      <c r="Q12">
        <v>988.15</v>
      </c>
      <c r="R12">
        <v>52.22</v>
      </c>
      <c r="S12">
        <v>35.43</v>
      </c>
      <c r="T12">
        <v>7295.19</v>
      </c>
      <c r="U12">
        <v>0.68</v>
      </c>
      <c r="V12">
        <v>0.86</v>
      </c>
      <c r="W12">
        <v>3</v>
      </c>
      <c r="X12">
        <v>0.46</v>
      </c>
      <c r="Y12">
        <v>1</v>
      </c>
      <c r="Z12">
        <v>10</v>
      </c>
    </row>
    <row r="13" spans="1:26" x14ac:dyDescent="0.3">
      <c r="A13">
        <v>11</v>
      </c>
      <c r="B13">
        <v>60</v>
      </c>
      <c r="C13" t="s">
        <v>26</v>
      </c>
      <c r="D13">
        <v>6.2647000000000004</v>
      </c>
      <c r="E13">
        <v>15.96</v>
      </c>
      <c r="F13">
        <v>13.22</v>
      </c>
      <c r="G13">
        <v>33.04</v>
      </c>
      <c r="H13">
        <v>0.52</v>
      </c>
      <c r="I13">
        <v>24</v>
      </c>
      <c r="J13">
        <v>128.26</v>
      </c>
      <c r="K13">
        <v>45</v>
      </c>
      <c r="L13">
        <v>3.75</v>
      </c>
      <c r="M13">
        <v>22</v>
      </c>
      <c r="N13">
        <v>19.510000000000002</v>
      </c>
      <c r="O13">
        <v>16052.76</v>
      </c>
      <c r="P13">
        <v>115.81</v>
      </c>
      <c r="Q13">
        <v>988.12</v>
      </c>
      <c r="R13">
        <v>52.13</v>
      </c>
      <c r="S13">
        <v>35.43</v>
      </c>
      <c r="T13">
        <v>7257.1</v>
      </c>
      <c r="U13">
        <v>0.68</v>
      </c>
      <c r="V13">
        <v>0.86</v>
      </c>
      <c r="W13">
        <v>3</v>
      </c>
      <c r="X13">
        <v>0.46</v>
      </c>
      <c r="Y13">
        <v>1</v>
      </c>
      <c r="Z13">
        <v>10</v>
      </c>
    </row>
    <row r="14" spans="1:26" x14ac:dyDescent="0.3">
      <c r="A14">
        <v>12</v>
      </c>
      <c r="B14">
        <v>60</v>
      </c>
      <c r="C14" t="s">
        <v>26</v>
      </c>
      <c r="D14">
        <v>6.2991000000000001</v>
      </c>
      <c r="E14">
        <v>15.88</v>
      </c>
      <c r="F14">
        <v>13.18</v>
      </c>
      <c r="G14">
        <v>35.950000000000003</v>
      </c>
      <c r="H14">
        <v>0.55000000000000004</v>
      </c>
      <c r="I14">
        <v>22</v>
      </c>
      <c r="J14">
        <v>128.59</v>
      </c>
      <c r="K14">
        <v>45</v>
      </c>
      <c r="L14">
        <v>4</v>
      </c>
      <c r="M14">
        <v>20</v>
      </c>
      <c r="N14">
        <v>19.59</v>
      </c>
      <c r="O14">
        <v>16093.6</v>
      </c>
      <c r="P14">
        <v>113.6</v>
      </c>
      <c r="Q14">
        <v>988.17</v>
      </c>
      <c r="R14">
        <v>50.99</v>
      </c>
      <c r="S14">
        <v>35.43</v>
      </c>
      <c r="T14">
        <v>6695.86</v>
      </c>
      <c r="U14">
        <v>0.69</v>
      </c>
      <c r="V14">
        <v>0.86</v>
      </c>
      <c r="W14">
        <v>3</v>
      </c>
      <c r="X14">
        <v>0.43</v>
      </c>
      <c r="Y14">
        <v>1</v>
      </c>
      <c r="Z14">
        <v>10</v>
      </c>
    </row>
    <row r="15" spans="1:26" x14ac:dyDescent="0.3">
      <c r="A15">
        <v>13</v>
      </c>
      <c r="B15">
        <v>60</v>
      </c>
      <c r="C15" t="s">
        <v>26</v>
      </c>
      <c r="D15">
        <v>6.3426</v>
      </c>
      <c r="E15">
        <v>15.77</v>
      </c>
      <c r="F15">
        <v>13.12</v>
      </c>
      <c r="G15">
        <v>39.369999999999997</v>
      </c>
      <c r="H15">
        <v>0.57999999999999996</v>
      </c>
      <c r="I15">
        <v>20</v>
      </c>
      <c r="J15">
        <v>128.91999999999999</v>
      </c>
      <c r="K15">
        <v>45</v>
      </c>
      <c r="L15">
        <v>4.25</v>
      </c>
      <c r="M15">
        <v>16</v>
      </c>
      <c r="N15">
        <v>19.68</v>
      </c>
      <c r="O15">
        <v>16134.46</v>
      </c>
      <c r="P15">
        <v>111.06</v>
      </c>
      <c r="Q15">
        <v>988.14</v>
      </c>
      <c r="R15">
        <v>49.15</v>
      </c>
      <c r="S15">
        <v>35.43</v>
      </c>
      <c r="T15">
        <v>5785.45</v>
      </c>
      <c r="U15">
        <v>0.72</v>
      </c>
      <c r="V15">
        <v>0.87</v>
      </c>
      <c r="W15">
        <v>3</v>
      </c>
      <c r="X15">
        <v>0.37</v>
      </c>
      <c r="Y15">
        <v>1</v>
      </c>
      <c r="Z15">
        <v>10</v>
      </c>
    </row>
    <row r="16" spans="1:26" x14ac:dyDescent="0.3">
      <c r="A16">
        <v>14</v>
      </c>
      <c r="B16">
        <v>60</v>
      </c>
      <c r="C16" t="s">
        <v>26</v>
      </c>
      <c r="D16">
        <v>6.3536999999999999</v>
      </c>
      <c r="E16">
        <v>15.74</v>
      </c>
      <c r="F16">
        <v>13.12</v>
      </c>
      <c r="G16">
        <v>41.44</v>
      </c>
      <c r="H16">
        <v>0.62</v>
      </c>
      <c r="I16">
        <v>19</v>
      </c>
      <c r="J16">
        <v>129.25</v>
      </c>
      <c r="K16">
        <v>45</v>
      </c>
      <c r="L16">
        <v>4.5</v>
      </c>
      <c r="M16">
        <v>11</v>
      </c>
      <c r="N16">
        <v>19.760000000000002</v>
      </c>
      <c r="O16">
        <v>16175.36</v>
      </c>
      <c r="P16">
        <v>109.29</v>
      </c>
      <c r="Q16">
        <v>988.26</v>
      </c>
      <c r="R16">
        <v>48.86</v>
      </c>
      <c r="S16">
        <v>35.43</v>
      </c>
      <c r="T16">
        <v>5644.46</v>
      </c>
      <c r="U16">
        <v>0.73</v>
      </c>
      <c r="V16">
        <v>0.87</v>
      </c>
      <c r="W16">
        <v>3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60</v>
      </c>
      <c r="C17" t="s">
        <v>26</v>
      </c>
      <c r="D17">
        <v>6.3672000000000004</v>
      </c>
      <c r="E17">
        <v>15.71</v>
      </c>
      <c r="F17">
        <v>13.11</v>
      </c>
      <c r="G17">
        <v>43.71</v>
      </c>
      <c r="H17">
        <v>0.65</v>
      </c>
      <c r="I17">
        <v>18</v>
      </c>
      <c r="J17">
        <v>129.59</v>
      </c>
      <c r="K17">
        <v>45</v>
      </c>
      <c r="L17">
        <v>4.75</v>
      </c>
      <c r="M17">
        <v>5</v>
      </c>
      <c r="N17">
        <v>19.84</v>
      </c>
      <c r="O17">
        <v>16216.29</v>
      </c>
      <c r="P17">
        <v>108.12</v>
      </c>
      <c r="Q17">
        <v>988.15</v>
      </c>
      <c r="R17">
        <v>48.55</v>
      </c>
      <c r="S17">
        <v>35.43</v>
      </c>
      <c r="T17">
        <v>5494.73</v>
      </c>
      <c r="U17">
        <v>0.73</v>
      </c>
      <c r="V17">
        <v>0.87</v>
      </c>
      <c r="W17">
        <v>3.01</v>
      </c>
      <c r="X17">
        <v>0.36</v>
      </c>
      <c r="Y17">
        <v>1</v>
      </c>
      <c r="Z17">
        <v>10</v>
      </c>
    </row>
    <row r="18" spans="1:26" x14ac:dyDescent="0.3">
      <c r="A18">
        <v>16</v>
      </c>
      <c r="B18">
        <v>60</v>
      </c>
      <c r="C18" t="s">
        <v>26</v>
      </c>
      <c r="D18">
        <v>6.3700999999999999</v>
      </c>
      <c r="E18">
        <v>15.7</v>
      </c>
      <c r="F18">
        <v>13.11</v>
      </c>
      <c r="G18">
        <v>43.69</v>
      </c>
      <c r="H18">
        <v>0.68</v>
      </c>
      <c r="I18">
        <v>18</v>
      </c>
      <c r="J18">
        <v>129.91999999999999</v>
      </c>
      <c r="K18">
        <v>45</v>
      </c>
      <c r="L18">
        <v>5</v>
      </c>
      <c r="M18">
        <v>2</v>
      </c>
      <c r="N18">
        <v>19.920000000000002</v>
      </c>
      <c r="O18">
        <v>16257.24</v>
      </c>
      <c r="P18">
        <v>108.54</v>
      </c>
      <c r="Q18">
        <v>988.17</v>
      </c>
      <c r="R18">
        <v>48.02</v>
      </c>
      <c r="S18">
        <v>35.43</v>
      </c>
      <c r="T18">
        <v>5232.3599999999997</v>
      </c>
      <c r="U18">
        <v>0.74</v>
      </c>
      <c r="V18">
        <v>0.87</v>
      </c>
      <c r="W18">
        <v>3.01</v>
      </c>
      <c r="X18">
        <v>0.35</v>
      </c>
      <c r="Y18">
        <v>1</v>
      </c>
      <c r="Z18">
        <v>10</v>
      </c>
    </row>
    <row r="19" spans="1:26" x14ac:dyDescent="0.3">
      <c r="A19">
        <v>17</v>
      </c>
      <c r="B19">
        <v>60</v>
      </c>
      <c r="C19" t="s">
        <v>26</v>
      </c>
      <c r="D19">
        <v>6.3708</v>
      </c>
      <c r="E19">
        <v>15.7</v>
      </c>
      <c r="F19">
        <v>13.1</v>
      </c>
      <c r="G19">
        <v>43.68</v>
      </c>
      <c r="H19">
        <v>0.71</v>
      </c>
      <c r="I19">
        <v>18</v>
      </c>
      <c r="J19">
        <v>130.25</v>
      </c>
      <c r="K19">
        <v>45</v>
      </c>
      <c r="L19">
        <v>5.25</v>
      </c>
      <c r="M19">
        <v>1</v>
      </c>
      <c r="N19">
        <v>20</v>
      </c>
      <c r="O19">
        <v>16298.23</v>
      </c>
      <c r="P19">
        <v>108.56</v>
      </c>
      <c r="Q19">
        <v>988.23</v>
      </c>
      <c r="R19">
        <v>48.11</v>
      </c>
      <c r="S19">
        <v>35.43</v>
      </c>
      <c r="T19">
        <v>5274.19</v>
      </c>
      <c r="U19">
        <v>0.74</v>
      </c>
      <c r="V19">
        <v>0.87</v>
      </c>
      <c r="W19">
        <v>3.01</v>
      </c>
      <c r="X19">
        <v>0.35</v>
      </c>
      <c r="Y19">
        <v>1</v>
      </c>
      <c r="Z19">
        <v>10</v>
      </c>
    </row>
    <row r="20" spans="1:26" x14ac:dyDescent="0.3">
      <c r="A20">
        <v>18</v>
      </c>
      <c r="B20">
        <v>60</v>
      </c>
      <c r="C20" t="s">
        <v>26</v>
      </c>
      <c r="D20">
        <v>6.3700999999999999</v>
      </c>
      <c r="E20">
        <v>15.7</v>
      </c>
      <c r="F20">
        <v>13.11</v>
      </c>
      <c r="G20">
        <v>43.69</v>
      </c>
      <c r="H20">
        <v>0.74</v>
      </c>
      <c r="I20">
        <v>18</v>
      </c>
      <c r="J20">
        <v>130.58000000000001</v>
      </c>
      <c r="K20">
        <v>45</v>
      </c>
      <c r="L20">
        <v>5.5</v>
      </c>
      <c r="M20">
        <v>0</v>
      </c>
      <c r="N20">
        <v>20.09</v>
      </c>
      <c r="O20">
        <v>16339.24</v>
      </c>
      <c r="P20">
        <v>108.81</v>
      </c>
      <c r="Q20">
        <v>988.23</v>
      </c>
      <c r="R20">
        <v>48.13</v>
      </c>
      <c r="S20">
        <v>35.43</v>
      </c>
      <c r="T20">
        <v>5286.2</v>
      </c>
      <c r="U20">
        <v>0.74</v>
      </c>
      <c r="V20">
        <v>0.87</v>
      </c>
      <c r="W20">
        <v>3.01</v>
      </c>
      <c r="X20">
        <v>0.35</v>
      </c>
      <c r="Y20">
        <v>1</v>
      </c>
      <c r="Z20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ilha15"/>
  <dimension ref="A1:Z6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135</v>
      </c>
      <c r="C2" t="s">
        <v>26</v>
      </c>
      <c r="D2">
        <v>3.2972000000000001</v>
      </c>
      <c r="E2">
        <v>30.33</v>
      </c>
      <c r="F2">
        <v>17.010000000000002</v>
      </c>
      <c r="G2">
        <v>4.93</v>
      </c>
      <c r="H2">
        <v>7.0000000000000007E-2</v>
      </c>
      <c r="I2">
        <v>207</v>
      </c>
      <c r="J2">
        <v>263.32</v>
      </c>
      <c r="K2">
        <v>59.89</v>
      </c>
      <c r="L2">
        <v>1</v>
      </c>
      <c r="M2">
        <v>205</v>
      </c>
      <c r="N2">
        <v>67.430000000000007</v>
      </c>
      <c r="O2">
        <v>32710.1</v>
      </c>
      <c r="P2">
        <v>286.99</v>
      </c>
      <c r="Q2">
        <v>988.95</v>
      </c>
      <c r="R2">
        <v>170.74</v>
      </c>
      <c r="S2">
        <v>35.43</v>
      </c>
      <c r="T2">
        <v>65648.399999999994</v>
      </c>
      <c r="U2">
        <v>0.21</v>
      </c>
      <c r="V2">
        <v>0.67</v>
      </c>
      <c r="W2">
        <v>3.29</v>
      </c>
      <c r="X2">
        <v>4.25</v>
      </c>
      <c r="Y2">
        <v>1</v>
      </c>
      <c r="Z2">
        <v>10</v>
      </c>
    </row>
    <row r="3" spans="1:26" x14ac:dyDescent="0.3">
      <c r="A3">
        <v>1</v>
      </c>
      <c r="B3">
        <v>135</v>
      </c>
      <c r="C3" t="s">
        <v>26</v>
      </c>
      <c r="D3">
        <v>3.7593999999999999</v>
      </c>
      <c r="E3">
        <v>26.6</v>
      </c>
      <c r="F3">
        <v>15.91</v>
      </c>
      <c r="G3">
        <v>6.16</v>
      </c>
      <c r="H3">
        <v>0.08</v>
      </c>
      <c r="I3">
        <v>155</v>
      </c>
      <c r="J3">
        <v>263.79000000000002</v>
      </c>
      <c r="K3">
        <v>59.89</v>
      </c>
      <c r="L3">
        <v>1.25</v>
      </c>
      <c r="M3">
        <v>153</v>
      </c>
      <c r="N3">
        <v>67.650000000000006</v>
      </c>
      <c r="O3">
        <v>32767.75</v>
      </c>
      <c r="P3">
        <v>267.70999999999998</v>
      </c>
      <c r="Q3">
        <v>988.61</v>
      </c>
      <c r="R3">
        <v>135.99</v>
      </c>
      <c r="S3">
        <v>35.43</v>
      </c>
      <c r="T3">
        <v>48531.63</v>
      </c>
      <c r="U3">
        <v>0.26</v>
      </c>
      <c r="V3">
        <v>0.72</v>
      </c>
      <c r="W3">
        <v>3.22</v>
      </c>
      <c r="X3">
        <v>3.15</v>
      </c>
      <c r="Y3">
        <v>1</v>
      </c>
      <c r="Z3">
        <v>10</v>
      </c>
    </row>
    <row r="4" spans="1:26" x14ac:dyDescent="0.3">
      <c r="A4">
        <v>2</v>
      </c>
      <c r="B4">
        <v>135</v>
      </c>
      <c r="C4" t="s">
        <v>26</v>
      </c>
      <c r="D4">
        <v>4.1140999999999996</v>
      </c>
      <c r="E4">
        <v>24.31</v>
      </c>
      <c r="F4">
        <v>15.24</v>
      </c>
      <c r="G4">
        <v>7.43</v>
      </c>
      <c r="H4">
        <v>0.1</v>
      </c>
      <c r="I4">
        <v>123</v>
      </c>
      <c r="J4">
        <v>264.25</v>
      </c>
      <c r="K4">
        <v>59.89</v>
      </c>
      <c r="L4">
        <v>1.5</v>
      </c>
      <c r="M4">
        <v>121</v>
      </c>
      <c r="N4">
        <v>67.87</v>
      </c>
      <c r="O4">
        <v>32825.49</v>
      </c>
      <c r="P4">
        <v>255.65</v>
      </c>
      <c r="Q4">
        <v>988.35</v>
      </c>
      <c r="R4">
        <v>114.92</v>
      </c>
      <c r="S4">
        <v>35.43</v>
      </c>
      <c r="T4">
        <v>38156.31</v>
      </c>
      <c r="U4">
        <v>0.31</v>
      </c>
      <c r="V4">
        <v>0.75</v>
      </c>
      <c r="W4">
        <v>3.17</v>
      </c>
      <c r="X4">
        <v>2.48</v>
      </c>
      <c r="Y4">
        <v>1</v>
      </c>
      <c r="Z4">
        <v>10</v>
      </c>
    </row>
    <row r="5" spans="1:26" x14ac:dyDescent="0.3">
      <c r="A5">
        <v>3</v>
      </c>
      <c r="B5">
        <v>135</v>
      </c>
      <c r="C5" t="s">
        <v>26</v>
      </c>
      <c r="D5">
        <v>4.3662999999999998</v>
      </c>
      <c r="E5">
        <v>22.9</v>
      </c>
      <c r="F5">
        <v>14.84</v>
      </c>
      <c r="G5">
        <v>8.65</v>
      </c>
      <c r="H5">
        <v>0.12</v>
      </c>
      <c r="I5">
        <v>103</v>
      </c>
      <c r="J5">
        <v>264.72000000000003</v>
      </c>
      <c r="K5">
        <v>59.89</v>
      </c>
      <c r="L5">
        <v>1.75</v>
      </c>
      <c r="M5">
        <v>101</v>
      </c>
      <c r="N5">
        <v>68.09</v>
      </c>
      <c r="O5">
        <v>32883.31</v>
      </c>
      <c r="P5">
        <v>248.41</v>
      </c>
      <c r="Q5">
        <v>988.47</v>
      </c>
      <c r="R5">
        <v>102.18</v>
      </c>
      <c r="S5">
        <v>35.43</v>
      </c>
      <c r="T5">
        <v>31888.55</v>
      </c>
      <c r="U5">
        <v>0.35</v>
      </c>
      <c r="V5">
        <v>0.77</v>
      </c>
      <c r="W5">
        <v>3.15</v>
      </c>
      <c r="X5">
        <v>2.08</v>
      </c>
      <c r="Y5">
        <v>1</v>
      </c>
      <c r="Z5">
        <v>10</v>
      </c>
    </row>
    <row r="6" spans="1:26" x14ac:dyDescent="0.3">
      <c r="A6">
        <v>4</v>
      </c>
      <c r="B6">
        <v>135</v>
      </c>
      <c r="C6" t="s">
        <v>26</v>
      </c>
      <c r="D6">
        <v>4.5843999999999996</v>
      </c>
      <c r="E6">
        <v>21.81</v>
      </c>
      <c r="F6">
        <v>14.51</v>
      </c>
      <c r="G6">
        <v>9.89</v>
      </c>
      <c r="H6">
        <v>0.13</v>
      </c>
      <c r="I6">
        <v>88</v>
      </c>
      <c r="J6">
        <v>265.19</v>
      </c>
      <c r="K6">
        <v>59.89</v>
      </c>
      <c r="L6">
        <v>2</v>
      </c>
      <c r="M6">
        <v>86</v>
      </c>
      <c r="N6">
        <v>68.31</v>
      </c>
      <c r="O6">
        <v>32941.21</v>
      </c>
      <c r="P6">
        <v>242.19</v>
      </c>
      <c r="Q6">
        <v>988.36</v>
      </c>
      <c r="R6">
        <v>92.56</v>
      </c>
      <c r="S6">
        <v>35.43</v>
      </c>
      <c r="T6">
        <v>27151.21</v>
      </c>
      <c r="U6">
        <v>0.38</v>
      </c>
      <c r="V6">
        <v>0.79</v>
      </c>
      <c r="W6">
        <v>3.1</v>
      </c>
      <c r="X6">
        <v>1.76</v>
      </c>
      <c r="Y6">
        <v>1</v>
      </c>
      <c r="Z6">
        <v>10</v>
      </c>
    </row>
    <row r="7" spans="1:26" x14ac:dyDescent="0.3">
      <c r="A7">
        <v>5</v>
      </c>
      <c r="B7">
        <v>135</v>
      </c>
      <c r="C7" t="s">
        <v>26</v>
      </c>
      <c r="D7">
        <v>4.7534999999999998</v>
      </c>
      <c r="E7">
        <v>21.04</v>
      </c>
      <c r="F7">
        <v>14.29</v>
      </c>
      <c r="G7">
        <v>11.14</v>
      </c>
      <c r="H7">
        <v>0.15</v>
      </c>
      <c r="I7">
        <v>77</v>
      </c>
      <c r="J7">
        <v>265.66000000000003</v>
      </c>
      <c r="K7">
        <v>59.89</v>
      </c>
      <c r="L7">
        <v>2.25</v>
      </c>
      <c r="M7">
        <v>75</v>
      </c>
      <c r="N7">
        <v>68.53</v>
      </c>
      <c r="O7">
        <v>32999.19</v>
      </c>
      <c r="P7">
        <v>237.97</v>
      </c>
      <c r="Q7">
        <v>988.39</v>
      </c>
      <c r="R7">
        <v>85.6</v>
      </c>
      <c r="S7">
        <v>35.43</v>
      </c>
      <c r="T7">
        <v>23725.09</v>
      </c>
      <c r="U7">
        <v>0.41</v>
      </c>
      <c r="V7">
        <v>0.8</v>
      </c>
      <c r="W7">
        <v>3.09</v>
      </c>
      <c r="X7">
        <v>1.53</v>
      </c>
      <c r="Y7">
        <v>1</v>
      </c>
      <c r="Z7">
        <v>10</v>
      </c>
    </row>
    <row r="8" spans="1:26" x14ac:dyDescent="0.3">
      <c r="A8">
        <v>6</v>
      </c>
      <c r="B8">
        <v>135</v>
      </c>
      <c r="C8" t="s">
        <v>26</v>
      </c>
      <c r="D8">
        <v>4.8865999999999996</v>
      </c>
      <c r="E8">
        <v>20.46</v>
      </c>
      <c r="F8">
        <v>14.12</v>
      </c>
      <c r="G8">
        <v>12.28</v>
      </c>
      <c r="H8">
        <v>0.17</v>
      </c>
      <c r="I8">
        <v>69</v>
      </c>
      <c r="J8">
        <v>266.13</v>
      </c>
      <c r="K8">
        <v>59.89</v>
      </c>
      <c r="L8">
        <v>2.5</v>
      </c>
      <c r="M8">
        <v>67</v>
      </c>
      <c r="N8">
        <v>68.75</v>
      </c>
      <c r="O8">
        <v>33057.26</v>
      </c>
      <c r="P8">
        <v>234.48</v>
      </c>
      <c r="Q8">
        <v>988.25</v>
      </c>
      <c r="R8">
        <v>80.36</v>
      </c>
      <c r="S8">
        <v>35.43</v>
      </c>
      <c r="T8">
        <v>21145.49</v>
      </c>
      <c r="U8">
        <v>0.44</v>
      </c>
      <c r="V8">
        <v>0.81</v>
      </c>
      <c r="W8">
        <v>3.07</v>
      </c>
      <c r="X8">
        <v>1.37</v>
      </c>
      <c r="Y8">
        <v>1</v>
      </c>
      <c r="Z8">
        <v>10</v>
      </c>
    </row>
    <row r="9" spans="1:26" x14ac:dyDescent="0.3">
      <c r="A9">
        <v>7</v>
      </c>
      <c r="B9">
        <v>135</v>
      </c>
      <c r="C9" t="s">
        <v>26</v>
      </c>
      <c r="D9">
        <v>5.0084</v>
      </c>
      <c r="E9">
        <v>19.97</v>
      </c>
      <c r="F9">
        <v>13.98</v>
      </c>
      <c r="G9">
        <v>13.53</v>
      </c>
      <c r="H9">
        <v>0.18</v>
      </c>
      <c r="I9">
        <v>62</v>
      </c>
      <c r="J9">
        <v>266.60000000000002</v>
      </c>
      <c r="K9">
        <v>59.89</v>
      </c>
      <c r="L9">
        <v>2.75</v>
      </c>
      <c r="M9">
        <v>60</v>
      </c>
      <c r="N9">
        <v>68.97</v>
      </c>
      <c r="O9">
        <v>33115.410000000003</v>
      </c>
      <c r="P9">
        <v>231.48</v>
      </c>
      <c r="Q9">
        <v>988.3</v>
      </c>
      <c r="R9">
        <v>75.849999999999994</v>
      </c>
      <c r="S9">
        <v>35.43</v>
      </c>
      <c r="T9">
        <v>18926.509999999998</v>
      </c>
      <c r="U9">
        <v>0.47</v>
      </c>
      <c r="V9">
        <v>0.82</v>
      </c>
      <c r="W9">
        <v>3.06</v>
      </c>
      <c r="X9">
        <v>1.22</v>
      </c>
      <c r="Y9">
        <v>1</v>
      </c>
      <c r="Z9">
        <v>10</v>
      </c>
    </row>
    <row r="10" spans="1:26" x14ac:dyDescent="0.3">
      <c r="A10">
        <v>8</v>
      </c>
      <c r="B10">
        <v>135</v>
      </c>
      <c r="C10" t="s">
        <v>26</v>
      </c>
      <c r="D10">
        <v>5.1165000000000003</v>
      </c>
      <c r="E10">
        <v>19.54</v>
      </c>
      <c r="F10">
        <v>13.86</v>
      </c>
      <c r="G10">
        <v>14.85</v>
      </c>
      <c r="H10">
        <v>0.2</v>
      </c>
      <c r="I10">
        <v>56</v>
      </c>
      <c r="J10">
        <v>267.08</v>
      </c>
      <c r="K10">
        <v>59.89</v>
      </c>
      <c r="L10">
        <v>3</v>
      </c>
      <c r="M10">
        <v>54</v>
      </c>
      <c r="N10">
        <v>69.19</v>
      </c>
      <c r="O10">
        <v>33173.65</v>
      </c>
      <c r="P10">
        <v>228.72</v>
      </c>
      <c r="Q10">
        <v>988.32</v>
      </c>
      <c r="R10">
        <v>72.209999999999994</v>
      </c>
      <c r="S10">
        <v>35.43</v>
      </c>
      <c r="T10">
        <v>17137.89</v>
      </c>
      <c r="U10">
        <v>0.49</v>
      </c>
      <c r="V10">
        <v>0.82</v>
      </c>
      <c r="W10">
        <v>3.05</v>
      </c>
      <c r="X10">
        <v>1.1000000000000001</v>
      </c>
      <c r="Y10">
        <v>1</v>
      </c>
      <c r="Z10">
        <v>10</v>
      </c>
    </row>
    <row r="11" spans="1:26" x14ac:dyDescent="0.3">
      <c r="A11">
        <v>9</v>
      </c>
      <c r="B11">
        <v>135</v>
      </c>
      <c r="C11" t="s">
        <v>26</v>
      </c>
      <c r="D11">
        <v>5.2084999999999999</v>
      </c>
      <c r="E11">
        <v>19.2</v>
      </c>
      <c r="F11">
        <v>13.77</v>
      </c>
      <c r="G11">
        <v>16.2</v>
      </c>
      <c r="H11">
        <v>0.22</v>
      </c>
      <c r="I11">
        <v>51</v>
      </c>
      <c r="J11">
        <v>267.55</v>
      </c>
      <c r="K11">
        <v>59.89</v>
      </c>
      <c r="L11">
        <v>3.25</v>
      </c>
      <c r="M11">
        <v>49</v>
      </c>
      <c r="N11">
        <v>69.41</v>
      </c>
      <c r="O11">
        <v>33231.97</v>
      </c>
      <c r="P11">
        <v>226.5</v>
      </c>
      <c r="Q11">
        <v>988.18</v>
      </c>
      <c r="R11">
        <v>69.25</v>
      </c>
      <c r="S11">
        <v>35.43</v>
      </c>
      <c r="T11">
        <v>15678.94</v>
      </c>
      <c r="U11">
        <v>0.51</v>
      </c>
      <c r="V11">
        <v>0.83</v>
      </c>
      <c r="W11">
        <v>3.05</v>
      </c>
      <c r="X11">
        <v>1.01</v>
      </c>
      <c r="Y11">
        <v>1</v>
      </c>
      <c r="Z11">
        <v>10</v>
      </c>
    </row>
    <row r="12" spans="1:26" x14ac:dyDescent="0.3">
      <c r="A12">
        <v>10</v>
      </c>
      <c r="B12">
        <v>135</v>
      </c>
      <c r="C12" t="s">
        <v>26</v>
      </c>
      <c r="D12">
        <v>5.2840999999999996</v>
      </c>
      <c r="E12">
        <v>18.920000000000002</v>
      </c>
      <c r="F12">
        <v>13.7</v>
      </c>
      <c r="G12">
        <v>17.48</v>
      </c>
      <c r="H12">
        <v>0.23</v>
      </c>
      <c r="I12">
        <v>47</v>
      </c>
      <c r="J12">
        <v>268.02</v>
      </c>
      <c r="K12">
        <v>59.89</v>
      </c>
      <c r="L12">
        <v>3.5</v>
      </c>
      <c r="M12">
        <v>45</v>
      </c>
      <c r="N12">
        <v>69.64</v>
      </c>
      <c r="O12">
        <v>33290.379999999997</v>
      </c>
      <c r="P12">
        <v>224.82</v>
      </c>
      <c r="Q12">
        <v>988.33</v>
      </c>
      <c r="R12">
        <v>66.91</v>
      </c>
      <c r="S12">
        <v>35.43</v>
      </c>
      <c r="T12">
        <v>14531.74</v>
      </c>
      <c r="U12">
        <v>0.53</v>
      </c>
      <c r="V12">
        <v>0.83</v>
      </c>
      <c r="W12">
        <v>3.05</v>
      </c>
      <c r="X12">
        <v>0.94</v>
      </c>
      <c r="Y12">
        <v>1</v>
      </c>
      <c r="Z12">
        <v>10</v>
      </c>
    </row>
    <row r="13" spans="1:26" x14ac:dyDescent="0.3">
      <c r="A13">
        <v>11</v>
      </c>
      <c r="B13">
        <v>135</v>
      </c>
      <c r="C13" t="s">
        <v>26</v>
      </c>
      <c r="D13">
        <v>5.3475000000000001</v>
      </c>
      <c r="E13">
        <v>18.7</v>
      </c>
      <c r="F13">
        <v>13.62</v>
      </c>
      <c r="G13">
        <v>18.579999999999998</v>
      </c>
      <c r="H13">
        <v>0.25</v>
      </c>
      <c r="I13">
        <v>44</v>
      </c>
      <c r="J13">
        <v>268.5</v>
      </c>
      <c r="K13">
        <v>59.89</v>
      </c>
      <c r="L13">
        <v>3.75</v>
      </c>
      <c r="M13">
        <v>42</v>
      </c>
      <c r="N13">
        <v>69.86</v>
      </c>
      <c r="O13">
        <v>33348.870000000003</v>
      </c>
      <c r="P13">
        <v>223.13</v>
      </c>
      <c r="Q13">
        <v>988.16</v>
      </c>
      <c r="R13">
        <v>64.86</v>
      </c>
      <c r="S13">
        <v>35.43</v>
      </c>
      <c r="T13">
        <v>13518.77</v>
      </c>
      <c r="U13">
        <v>0.55000000000000004</v>
      </c>
      <c r="V13">
        <v>0.84</v>
      </c>
      <c r="W13">
        <v>3.04</v>
      </c>
      <c r="X13">
        <v>0.87</v>
      </c>
      <c r="Y13">
        <v>1</v>
      </c>
      <c r="Z13">
        <v>10</v>
      </c>
    </row>
    <row r="14" spans="1:26" x14ac:dyDescent="0.3">
      <c r="A14">
        <v>12</v>
      </c>
      <c r="B14">
        <v>135</v>
      </c>
      <c r="C14" t="s">
        <v>26</v>
      </c>
      <c r="D14">
        <v>5.4135999999999997</v>
      </c>
      <c r="E14">
        <v>18.47</v>
      </c>
      <c r="F14">
        <v>13.55</v>
      </c>
      <c r="G14">
        <v>19.82</v>
      </c>
      <c r="H14">
        <v>0.26</v>
      </c>
      <c r="I14">
        <v>41</v>
      </c>
      <c r="J14">
        <v>268.97000000000003</v>
      </c>
      <c r="K14">
        <v>59.89</v>
      </c>
      <c r="L14">
        <v>4</v>
      </c>
      <c r="M14">
        <v>39</v>
      </c>
      <c r="N14">
        <v>70.09</v>
      </c>
      <c r="O14">
        <v>33407.449999999997</v>
      </c>
      <c r="P14">
        <v>221.09</v>
      </c>
      <c r="Q14">
        <v>988.34</v>
      </c>
      <c r="R14">
        <v>62.37</v>
      </c>
      <c r="S14">
        <v>35.43</v>
      </c>
      <c r="T14">
        <v>12293.34</v>
      </c>
      <c r="U14">
        <v>0.56999999999999995</v>
      </c>
      <c r="V14">
        <v>0.84</v>
      </c>
      <c r="W14">
        <v>3.03</v>
      </c>
      <c r="X14">
        <v>0.79</v>
      </c>
      <c r="Y14">
        <v>1</v>
      </c>
      <c r="Z14">
        <v>10</v>
      </c>
    </row>
    <row r="15" spans="1:26" x14ac:dyDescent="0.3">
      <c r="A15">
        <v>13</v>
      </c>
      <c r="B15">
        <v>135</v>
      </c>
      <c r="C15" t="s">
        <v>26</v>
      </c>
      <c r="D15">
        <v>5.4726999999999997</v>
      </c>
      <c r="E15">
        <v>18.27</v>
      </c>
      <c r="F15">
        <v>13.5</v>
      </c>
      <c r="G15">
        <v>21.31</v>
      </c>
      <c r="H15">
        <v>0.28000000000000003</v>
      </c>
      <c r="I15">
        <v>38</v>
      </c>
      <c r="J15">
        <v>269.45</v>
      </c>
      <c r="K15">
        <v>59.89</v>
      </c>
      <c r="L15">
        <v>4.25</v>
      </c>
      <c r="M15">
        <v>36</v>
      </c>
      <c r="N15">
        <v>70.31</v>
      </c>
      <c r="O15">
        <v>33466.11</v>
      </c>
      <c r="P15">
        <v>219.61</v>
      </c>
      <c r="Q15">
        <v>988.16</v>
      </c>
      <c r="R15">
        <v>60.61</v>
      </c>
      <c r="S15">
        <v>35.43</v>
      </c>
      <c r="T15">
        <v>11427.05</v>
      </c>
      <c r="U15">
        <v>0.57999999999999996</v>
      </c>
      <c r="V15">
        <v>0.84</v>
      </c>
      <c r="W15">
        <v>3.03</v>
      </c>
      <c r="X15">
        <v>0.74</v>
      </c>
      <c r="Y15">
        <v>1</v>
      </c>
      <c r="Z15">
        <v>10</v>
      </c>
    </row>
    <row r="16" spans="1:26" x14ac:dyDescent="0.3">
      <c r="A16">
        <v>14</v>
      </c>
      <c r="B16">
        <v>135</v>
      </c>
      <c r="C16" t="s">
        <v>26</v>
      </c>
      <c r="D16">
        <v>5.5190999999999999</v>
      </c>
      <c r="E16">
        <v>18.12</v>
      </c>
      <c r="F16">
        <v>13.45</v>
      </c>
      <c r="G16">
        <v>22.41</v>
      </c>
      <c r="H16">
        <v>0.3</v>
      </c>
      <c r="I16">
        <v>36</v>
      </c>
      <c r="J16">
        <v>269.92</v>
      </c>
      <c r="K16">
        <v>59.89</v>
      </c>
      <c r="L16">
        <v>4.5</v>
      </c>
      <c r="M16">
        <v>34</v>
      </c>
      <c r="N16">
        <v>70.540000000000006</v>
      </c>
      <c r="O16">
        <v>33524.86</v>
      </c>
      <c r="P16">
        <v>218.12</v>
      </c>
      <c r="Q16">
        <v>988.12</v>
      </c>
      <c r="R16">
        <v>58.99</v>
      </c>
      <c r="S16">
        <v>35.43</v>
      </c>
      <c r="T16">
        <v>10624.02</v>
      </c>
      <c r="U16">
        <v>0.6</v>
      </c>
      <c r="V16">
        <v>0.85</v>
      </c>
      <c r="W16">
        <v>3.03</v>
      </c>
      <c r="X16">
        <v>0.69</v>
      </c>
      <c r="Y16">
        <v>1</v>
      </c>
      <c r="Z16">
        <v>10</v>
      </c>
    </row>
    <row r="17" spans="1:26" x14ac:dyDescent="0.3">
      <c r="A17">
        <v>15</v>
      </c>
      <c r="B17">
        <v>135</v>
      </c>
      <c r="C17" t="s">
        <v>26</v>
      </c>
      <c r="D17">
        <v>5.5570000000000004</v>
      </c>
      <c r="E17">
        <v>18</v>
      </c>
      <c r="F17">
        <v>13.42</v>
      </c>
      <c r="G17">
        <v>23.69</v>
      </c>
      <c r="H17">
        <v>0.31</v>
      </c>
      <c r="I17">
        <v>34</v>
      </c>
      <c r="J17">
        <v>270.39999999999998</v>
      </c>
      <c r="K17">
        <v>59.89</v>
      </c>
      <c r="L17">
        <v>4.75</v>
      </c>
      <c r="M17">
        <v>32</v>
      </c>
      <c r="N17">
        <v>70.760000000000005</v>
      </c>
      <c r="O17">
        <v>33583.699999999997</v>
      </c>
      <c r="P17">
        <v>217.24</v>
      </c>
      <c r="Q17">
        <v>988.16</v>
      </c>
      <c r="R17">
        <v>58.58</v>
      </c>
      <c r="S17">
        <v>35.43</v>
      </c>
      <c r="T17">
        <v>10429.35</v>
      </c>
      <c r="U17">
        <v>0.6</v>
      </c>
      <c r="V17">
        <v>0.85</v>
      </c>
      <c r="W17">
        <v>3.02</v>
      </c>
      <c r="X17">
        <v>0.67</v>
      </c>
      <c r="Y17">
        <v>1</v>
      </c>
      <c r="Z17">
        <v>10</v>
      </c>
    </row>
    <row r="18" spans="1:26" x14ac:dyDescent="0.3">
      <c r="A18">
        <v>16</v>
      </c>
      <c r="B18">
        <v>135</v>
      </c>
      <c r="C18" t="s">
        <v>26</v>
      </c>
      <c r="D18">
        <v>5.6044</v>
      </c>
      <c r="E18">
        <v>17.84</v>
      </c>
      <c r="F18">
        <v>13.37</v>
      </c>
      <c r="G18">
        <v>25.07</v>
      </c>
      <c r="H18">
        <v>0.33</v>
      </c>
      <c r="I18">
        <v>32</v>
      </c>
      <c r="J18">
        <v>270.88</v>
      </c>
      <c r="K18">
        <v>59.89</v>
      </c>
      <c r="L18">
        <v>5</v>
      </c>
      <c r="M18">
        <v>30</v>
      </c>
      <c r="N18">
        <v>70.989999999999995</v>
      </c>
      <c r="O18">
        <v>33642.620000000003</v>
      </c>
      <c r="P18">
        <v>215.56</v>
      </c>
      <c r="Q18">
        <v>988.22</v>
      </c>
      <c r="R18">
        <v>56.71</v>
      </c>
      <c r="S18">
        <v>35.43</v>
      </c>
      <c r="T18">
        <v>9507.8799999999992</v>
      </c>
      <c r="U18">
        <v>0.62</v>
      </c>
      <c r="V18">
        <v>0.85</v>
      </c>
      <c r="W18">
        <v>3.02</v>
      </c>
      <c r="X18">
        <v>0.62</v>
      </c>
      <c r="Y18">
        <v>1</v>
      </c>
      <c r="Z18">
        <v>10</v>
      </c>
    </row>
    <row r="19" spans="1:26" x14ac:dyDescent="0.3">
      <c r="A19">
        <v>17</v>
      </c>
      <c r="B19">
        <v>135</v>
      </c>
      <c r="C19" t="s">
        <v>26</v>
      </c>
      <c r="D19">
        <v>5.6261000000000001</v>
      </c>
      <c r="E19">
        <v>17.77</v>
      </c>
      <c r="F19">
        <v>13.35</v>
      </c>
      <c r="G19">
        <v>25.85</v>
      </c>
      <c r="H19">
        <v>0.34</v>
      </c>
      <c r="I19">
        <v>31</v>
      </c>
      <c r="J19">
        <v>271.36</v>
      </c>
      <c r="K19">
        <v>59.89</v>
      </c>
      <c r="L19">
        <v>5.25</v>
      </c>
      <c r="M19">
        <v>29</v>
      </c>
      <c r="N19">
        <v>71.22</v>
      </c>
      <c r="O19">
        <v>33701.64</v>
      </c>
      <c r="P19">
        <v>214.86</v>
      </c>
      <c r="Q19">
        <v>988.2</v>
      </c>
      <c r="R19">
        <v>56.53</v>
      </c>
      <c r="S19">
        <v>35.43</v>
      </c>
      <c r="T19">
        <v>9419.9</v>
      </c>
      <c r="U19">
        <v>0.63</v>
      </c>
      <c r="V19">
        <v>0.85</v>
      </c>
      <c r="W19">
        <v>3.01</v>
      </c>
      <c r="X19">
        <v>0.6</v>
      </c>
      <c r="Y19">
        <v>1</v>
      </c>
      <c r="Z19">
        <v>10</v>
      </c>
    </row>
    <row r="20" spans="1:26" x14ac:dyDescent="0.3">
      <c r="A20">
        <v>18</v>
      </c>
      <c r="B20">
        <v>135</v>
      </c>
      <c r="C20" t="s">
        <v>26</v>
      </c>
      <c r="D20">
        <v>5.6733000000000002</v>
      </c>
      <c r="E20">
        <v>17.63</v>
      </c>
      <c r="F20">
        <v>13.31</v>
      </c>
      <c r="G20">
        <v>27.53</v>
      </c>
      <c r="H20">
        <v>0.36</v>
      </c>
      <c r="I20">
        <v>29</v>
      </c>
      <c r="J20">
        <v>271.83999999999997</v>
      </c>
      <c r="K20">
        <v>59.89</v>
      </c>
      <c r="L20">
        <v>5.5</v>
      </c>
      <c r="M20">
        <v>27</v>
      </c>
      <c r="N20">
        <v>71.45</v>
      </c>
      <c r="O20">
        <v>33760.74</v>
      </c>
      <c r="P20">
        <v>213.22</v>
      </c>
      <c r="Q20">
        <v>988.08</v>
      </c>
      <c r="R20">
        <v>55.02</v>
      </c>
      <c r="S20">
        <v>35.43</v>
      </c>
      <c r="T20">
        <v>8674.7800000000007</v>
      </c>
      <c r="U20">
        <v>0.64</v>
      </c>
      <c r="V20">
        <v>0.86</v>
      </c>
      <c r="W20">
        <v>3.01</v>
      </c>
      <c r="X20">
        <v>0.55000000000000004</v>
      </c>
      <c r="Y20">
        <v>1</v>
      </c>
      <c r="Z20">
        <v>10</v>
      </c>
    </row>
    <row r="21" spans="1:26" x14ac:dyDescent="0.3">
      <c r="A21">
        <v>19</v>
      </c>
      <c r="B21">
        <v>135</v>
      </c>
      <c r="C21" t="s">
        <v>26</v>
      </c>
      <c r="D21">
        <v>5.6920000000000002</v>
      </c>
      <c r="E21">
        <v>17.57</v>
      </c>
      <c r="F21">
        <v>13.3</v>
      </c>
      <c r="G21">
        <v>28.5</v>
      </c>
      <c r="H21">
        <v>0.38</v>
      </c>
      <c r="I21">
        <v>28</v>
      </c>
      <c r="J21">
        <v>272.32</v>
      </c>
      <c r="K21">
        <v>59.89</v>
      </c>
      <c r="L21">
        <v>5.75</v>
      </c>
      <c r="M21">
        <v>26</v>
      </c>
      <c r="N21">
        <v>71.680000000000007</v>
      </c>
      <c r="O21">
        <v>33820.050000000003</v>
      </c>
      <c r="P21">
        <v>212.55</v>
      </c>
      <c r="Q21">
        <v>988.19</v>
      </c>
      <c r="R21">
        <v>54.81</v>
      </c>
      <c r="S21">
        <v>35.43</v>
      </c>
      <c r="T21">
        <v>8577.56</v>
      </c>
      <c r="U21">
        <v>0.65</v>
      </c>
      <c r="V21">
        <v>0.86</v>
      </c>
      <c r="W21">
        <v>3.01</v>
      </c>
      <c r="X21">
        <v>0.55000000000000004</v>
      </c>
      <c r="Y21">
        <v>1</v>
      </c>
      <c r="Z21">
        <v>10</v>
      </c>
    </row>
    <row r="22" spans="1:26" x14ac:dyDescent="0.3">
      <c r="A22">
        <v>20</v>
      </c>
      <c r="B22">
        <v>135</v>
      </c>
      <c r="C22" t="s">
        <v>26</v>
      </c>
      <c r="D22">
        <v>5.7195999999999998</v>
      </c>
      <c r="E22">
        <v>17.48</v>
      </c>
      <c r="F22">
        <v>13.27</v>
      </c>
      <c r="G22">
        <v>29.48</v>
      </c>
      <c r="H22">
        <v>0.39</v>
      </c>
      <c r="I22">
        <v>27</v>
      </c>
      <c r="J22">
        <v>272.8</v>
      </c>
      <c r="K22">
        <v>59.89</v>
      </c>
      <c r="L22">
        <v>6</v>
      </c>
      <c r="M22">
        <v>25</v>
      </c>
      <c r="N22">
        <v>71.91</v>
      </c>
      <c r="O22">
        <v>33879.33</v>
      </c>
      <c r="P22">
        <v>211.35</v>
      </c>
      <c r="Q22">
        <v>988.13</v>
      </c>
      <c r="R22">
        <v>53.56</v>
      </c>
      <c r="S22">
        <v>35.43</v>
      </c>
      <c r="T22">
        <v>7955.44</v>
      </c>
      <c r="U22">
        <v>0.66</v>
      </c>
      <c r="V22">
        <v>0.86</v>
      </c>
      <c r="W22">
        <v>3.01</v>
      </c>
      <c r="X22">
        <v>0.51</v>
      </c>
      <c r="Y22">
        <v>1</v>
      </c>
      <c r="Z22">
        <v>10</v>
      </c>
    </row>
    <row r="23" spans="1:26" x14ac:dyDescent="0.3">
      <c r="A23">
        <v>21</v>
      </c>
      <c r="B23">
        <v>135</v>
      </c>
      <c r="C23" t="s">
        <v>26</v>
      </c>
      <c r="D23">
        <v>5.7680999999999996</v>
      </c>
      <c r="E23">
        <v>17.34</v>
      </c>
      <c r="F23">
        <v>13.22</v>
      </c>
      <c r="G23">
        <v>31.73</v>
      </c>
      <c r="H23">
        <v>0.41</v>
      </c>
      <c r="I23">
        <v>25</v>
      </c>
      <c r="J23">
        <v>273.27999999999997</v>
      </c>
      <c r="K23">
        <v>59.89</v>
      </c>
      <c r="L23">
        <v>6.25</v>
      </c>
      <c r="M23">
        <v>23</v>
      </c>
      <c r="N23">
        <v>72.14</v>
      </c>
      <c r="O23">
        <v>33938.699999999997</v>
      </c>
      <c r="P23">
        <v>209.69</v>
      </c>
      <c r="Q23">
        <v>988.16</v>
      </c>
      <c r="R23">
        <v>52.33</v>
      </c>
      <c r="S23">
        <v>35.43</v>
      </c>
      <c r="T23">
        <v>7349.4</v>
      </c>
      <c r="U23">
        <v>0.68</v>
      </c>
      <c r="V23">
        <v>0.86</v>
      </c>
      <c r="W23">
        <v>3</v>
      </c>
      <c r="X23">
        <v>0.47</v>
      </c>
      <c r="Y23">
        <v>1</v>
      </c>
      <c r="Z23">
        <v>10</v>
      </c>
    </row>
    <row r="24" spans="1:26" x14ac:dyDescent="0.3">
      <c r="A24">
        <v>22</v>
      </c>
      <c r="B24">
        <v>135</v>
      </c>
      <c r="C24" t="s">
        <v>26</v>
      </c>
      <c r="D24">
        <v>5.7632000000000003</v>
      </c>
      <c r="E24">
        <v>17.350000000000001</v>
      </c>
      <c r="F24">
        <v>13.23</v>
      </c>
      <c r="G24">
        <v>31.76</v>
      </c>
      <c r="H24">
        <v>0.42</v>
      </c>
      <c r="I24">
        <v>25</v>
      </c>
      <c r="J24">
        <v>273.76</v>
      </c>
      <c r="K24">
        <v>59.89</v>
      </c>
      <c r="L24">
        <v>6.5</v>
      </c>
      <c r="M24">
        <v>23</v>
      </c>
      <c r="N24">
        <v>72.37</v>
      </c>
      <c r="O24">
        <v>33998.160000000003</v>
      </c>
      <c r="P24">
        <v>209.43</v>
      </c>
      <c r="Q24">
        <v>988.19</v>
      </c>
      <c r="R24">
        <v>52.57</v>
      </c>
      <c r="S24">
        <v>35.43</v>
      </c>
      <c r="T24">
        <v>7470.99</v>
      </c>
      <c r="U24">
        <v>0.67</v>
      </c>
      <c r="V24">
        <v>0.86</v>
      </c>
      <c r="W24">
        <v>3.01</v>
      </c>
      <c r="X24">
        <v>0.48</v>
      </c>
      <c r="Y24">
        <v>1</v>
      </c>
      <c r="Z24">
        <v>10</v>
      </c>
    </row>
    <row r="25" spans="1:26" x14ac:dyDescent="0.3">
      <c r="A25">
        <v>23</v>
      </c>
      <c r="B25">
        <v>135</v>
      </c>
      <c r="C25" t="s">
        <v>26</v>
      </c>
      <c r="D25">
        <v>5.7869000000000002</v>
      </c>
      <c r="E25">
        <v>17.28</v>
      </c>
      <c r="F25">
        <v>13.21</v>
      </c>
      <c r="G25">
        <v>33.04</v>
      </c>
      <c r="H25">
        <v>0.44</v>
      </c>
      <c r="I25">
        <v>24</v>
      </c>
      <c r="J25">
        <v>274.24</v>
      </c>
      <c r="K25">
        <v>59.89</v>
      </c>
      <c r="L25">
        <v>6.75</v>
      </c>
      <c r="M25">
        <v>22</v>
      </c>
      <c r="N25">
        <v>72.61</v>
      </c>
      <c r="O25">
        <v>34057.71</v>
      </c>
      <c r="P25">
        <v>208.35</v>
      </c>
      <c r="Q25">
        <v>988.15</v>
      </c>
      <c r="R25">
        <v>51.87</v>
      </c>
      <c r="S25">
        <v>35.43</v>
      </c>
      <c r="T25">
        <v>7126.34</v>
      </c>
      <c r="U25">
        <v>0.68</v>
      </c>
      <c r="V25">
        <v>0.86</v>
      </c>
      <c r="W25">
        <v>3.01</v>
      </c>
      <c r="X25">
        <v>0.46</v>
      </c>
      <c r="Y25">
        <v>1</v>
      </c>
      <c r="Z25">
        <v>10</v>
      </c>
    </row>
    <row r="26" spans="1:26" x14ac:dyDescent="0.3">
      <c r="A26">
        <v>24</v>
      </c>
      <c r="B26">
        <v>135</v>
      </c>
      <c r="C26" t="s">
        <v>26</v>
      </c>
      <c r="D26">
        <v>5.8079999999999998</v>
      </c>
      <c r="E26">
        <v>17.22</v>
      </c>
      <c r="F26">
        <v>13.2</v>
      </c>
      <c r="G26">
        <v>34.44</v>
      </c>
      <c r="H26">
        <v>0.45</v>
      </c>
      <c r="I26">
        <v>23</v>
      </c>
      <c r="J26">
        <v>274.73</v>
      </c>
      <c r="K26">
        <v>59.89</v>
      </c>
      <c r="L26">
        <v>7</v>
      </c>
      <c r="M26">
        <v>21</v>
      </c>
      <c r="N26">
        <v>72.84</v>
      </c>
      <c r="O26">
        <v>34117.35</v>
      </c>
      <c r="P26">
        <v>207.81</v>
      </c>
      <c r="Q26">
        <v>988.17</v>
      </c>
      <c r="R26">
        <v>51.54</v>
      </c>
      <c r="S26">
        <v>35.43</v>
      </c>
      <c r="T26">
        <v>6964.74</v>
      </c>
      <c r="U26">
        <v>0.69</v>
      </c>
      <c r="V26">
        <v>0.86</v>
      </c>
      <c r="W26">
        <v>3.01</v>
      </c>
      <c r="X26">
        <v>0.45</v>
      </c>
      <c r="Y26">
        <v>1</v>
      </c>
      <c r="Z26">
        <v>10</v>
      </c>
    </row>
    <row r="27" spans="1:26" x14ac:dyDescent="0.3">
      <c r="A27">
        <v>25</v>
      </c>
      <c r="B27">
        <v>135</v>
      </c>
      <c r="C27" t="s">
        <v>26</v>
      </c>
      <c r="D27">
        <v>5.8376000000000001</v>
      </c>
      <c r="E27">
        <v>17.13</v>
      </c>
      <c r="F27">
        <v>13.16</v>
      </c>
      <c r="G27">
        <v>35.9</v>
      </c>
      <c r="H27">
        <v>0.47</v>
      </c>
      <c r="I27">
        <v>22</v>
      </c>
      <c r="J27">
        <v>275.20999999999998</v>
      </c>
      <c r="K27">
        <v>59.89</v>
      </c>
      <c r="L27">
        <v>7.25</v>
      </c>
      <c r="M27">
        <v>20</v>
      </c>
      <c r="N27">
        <v>73.08</v>
      </c>
      <c r="O27">
        <v>34177.089999999997</v>
      </c>
      <c r="P27">
        <v>206.52</v>
      </c>
      <c r="Q27">
        <v>988.08</v>
      </c>
      <c r="R27">
        <v>50.69</v>
      </c>
      <c r="S27">
        <v>35.43</v>
      </c>
      <c r="T27">
        <v>6544.3</v>
      </c>
      <c r="U27">
        <v>0.7</v>
      </c>
      <c r="V27">
        <v>0.87</v>
      </c>
      <c r="W27">
        <v>2.99</v>
      </c>
      <c r="X27">
        <v>0.41</v>
      </c>
      <c r="Y27">
        <v>1</v>
      </c>
      <c r="Z27">
        <v>10</v>
      </c>
    </row>
    <row r="28" spans="1:26" x14ac:dyDescent="0.3">
      <c r="A28">
        <v>26</v>
      </c>
      <c r="B28">
        <v>135</v>
      </c>
      <c r="C28" t="s">
        <v>26</v>
      </c>
      <c r="D28">
        <v>5.8567999999999998</v>
      </c>
      <c r="E28">
        <v>17.07</v>
      </c>
      <c r="F28">
        <v>13.16</v>
      </c>
      <c r="G28">
        <v>37.6</v>
      </c>
      <c r="H28">
        <v>0.48</v>
      </c>
      <c r="I28">
        <v>21</v>
      </c>
      <c r="J28">
        <v>275.7</v>
      </c>
      <c r="K28">
        <v>59.89</v>
      </c>
      <c r="L28">
        <v>7.5</v>
      </c>
      <c r="M28">
        <v>19</v>
      </c>
      <c r="N28">
        <v>73.31</v>
      </c>
      <c r="O28">
        <v>34236.910000000003</v>
      </c>
      <c r="P28">
        <v>205.67</v>
      </c>
      <c r="Q28">
        <v>988.16</v>
      </c>
      <c r="R28">
        <v>50.54</v>
      </c>
      <c r="S28">
        <v>35.43</v>
      </c>
      <c r="T28">
        <v>6475.99</v>
      </c>
      <c r="U28">
        <v>0.7</v>
      </c>
      <c r="V28">
        <v>0.87</v>
      </c>
      <c r="W28">
        <v>2.99</v>
      </c>
      <c r="X28">
        <v>0.41</v>
      </c>
      <c r="Y28">
        <v>1</v>
      </c>
      <c r="Z28">
        <v>10</v>
      </c>
    </row>
    <row r="29" spans="1:26" x14ac:dyDescent="0.3">
      <c r="A29">
        <v>27</v>
      </c>
      <c r="B29">
        <v>135</v>
      </c>
      <c r="C29" t="s">
        <v>26</v>
      </c>
      <c r="D29">
        <v>5.8849</v>
      </c>
      <c r="E29">
        <v>16.989999999999998</v>
      </c>
      <c r="F29">
        <v>13.13</v>
      </c>
      <c r="G29">
        <v>39.39</v>
      </c>
      <c r="H29">
        <v>0.5</v>
      </c>
      <c r="I29">
        <v>20</v>
      </c>
      <c r="J29">
        <v>276.18</v>
      </c>
      <c r="K29">
        <v>59.89</v>
      </c>
      <c r="L29">
        <v>7.75</v>
      </c>
      <c r="M29">
        <v>18</v>
      </c>
      <c r="N29">
        <v>73.55</v>
      </c>
      <c r="O29">
        <v>34296.82</v>
      </c>
      <c r="P29">
        <v>204.69</v>
      </c>
      <c r="Q29">
        <v>988.17</v>
      </c>
      <c r="R29">
        <v>49.36</v>
      </c>
      <c r="S29">
        <v>35.43</v>
      </c>
      <c r="T29">
        <v>5892.03</v>
      </c>
      <c r="U29">
        <v>0.72</v>
      </c>
      <c r="V29">
        <v>0.87</v>
      </c>
      <c r="W29">
        <v>3</v>
      </c>
      <c r="X29">
        <v>0.37</v>
      </c>
      <c r="Y29">
        <v>1</v>
      </c>
      <c r="Z29">
        <v>10</v>
      </c>
    </row>
    <row r="30" spans="1:26" x14ac:dyDescent="0.3">
      <c r="A30">
        <v>28</v>
      </c>
      <c r="B30">
        <v>135</v>
      </c>
      <c r="C30" t="s">
        <v>26</v>
      </c>
      <c r="D30">
        <v>5.8879000000000001</v>
      </c>
      <c r="E30">
        <v>16.98</v>
      </c>
      <c r="F30">
        <v>13.12</v>
      </c>
      <c r="G30">
        <v>39.36</v>
      </c>
      <c r="H30">
        <v>0.51</v>
      </c>
      <c r="I30">
        <v>20</v>
      </c>
      <c r="J30">
        <v>276.67</v>
      </c>
      <c r="K30">
        <v>59.89</v>
      </c>
      <c r="L30">
        <v>8</v>
      </c>
      <c r="M30">
        <v>18</v>
      </c>
      <c r="N30">
        <v>73.78</v>
      </c>
      <c r="O30">
        <v>34356.83</v>
      </c>
      <c r="P30">
        <v>203.93</v>
      </c>
      <c r="Q30">
        <v>988.12</v>
      </c>
      <c r="R30">
        <v>49.02</v>
      </c>
      <c r="S30">
        <v>35.43</v>
      </c>
      <c r="T30">
        <v>5720.96</v>
      </c>
      <c r="U30">
        <v>0.72</v>
      </c>
      <c r="V30">
        <v>0.87</v>
      </c>
      <c r="W30">
        <v>3</v>
      </c>
      <c r="X30">
        <v>0.37</v>
      </c>
      <c r="Y30">
        <v>1</v>
      </c>
      <c r="Z30">
        <v>10</v>
      </c>
    </row>
    <row r="31" spans="1:26" x14ac:dyDescent="0.3">
      <c r="A31">
        <v>29</v>
      </c>
      <c r="B31">
        <v>135</v>
      </c>
      <c r="C31" t="s">
        <v>26</v>
      </c>
      <c r="D31">
        <v>5.9089</v>
      </c>
      <c r="E31">
        <v>16.920000000000002</v>
      </c>
      <c r="F31">
        <v>13.11</v>
      </c>
      <c r="G31">
        <v>41.4</v>
      </c>
      <c r="H31">
        <v>0.53</v>
      </c>
      <c r="I31">
        <v>19</v>
      </c>
      <c r="J31">
        <v>277.16000000000003</v>
      </c>
      <c r="K31">
        <v>59.89</v>
      </c>
      <c r="L31">
        <v>8.25</v>
      </c>
      <c r="M31">
        <v>17</v>
      </c>
      <c r="N31">
        <v>74.02</v>
      </c>
      <c r="O31">
        <v>34416.93</v>
      </c>
      <c r="P31">
        <v>203.08</v>
      </c>
      <c r="Q31">
        <v>988.16</v>
      </c>
      <c r="R31">
        <v>48.76</v>
      </c>
      <c r="S31">
        <v>35.43</v>
      </c>
      <c r="T31">
        <v>5594.76</v>
      </c>
      <c r="U31">
        <v>0.73</v>
      </c>
      <c r="V31">
        <v>0.87</v>
      </c>
      <c r="W31">
        <v>3</v>
      </c>
      <c r="X31">
        <v>0.36</v>
      </c>
      <c r="Y31">
        <v>1</v>
      </c>
      <c r="Z31">
        <v>10</v>
      </c>
    </row>
    <row r="32" spans="1:26" x14ac:dyDescent="0.3">
      <c r="A32">
        <v>30</v>
      </c>
      <c r="B32">
        <v>135</v>
      </c>
      <c r="C32" t="s">
        <v>26</v>
      </c>
      <c r="D32">
        <v>5.9302999999999999</v>
      </c>
      <c r="E32">
        <v>16.86</v>
      </c>
      <c r="F32">
        <v>13.1</v>
      </c>
      <c r="G32">
        <v>43.66</v>
      </c>
      <c r="H32">
        <v>0.55000000000000004</v>
      </c>
      <c r="I32">
        <v>18</v>
      </c>
      <c r="J32">
        <v>277.64999999999998</v>
      </c>
      <c r="K32">
        <v>59.89</v>
      </c>
      <c r="L32">
        <v>8.5</v>
      </c>
      <c r="M32">
        <v>16</v>
      </c>
      <c r="N32">
        <v>74.260000000000005</v>
      </c>
      <c r="O32">
        <v>34477.129999999997</v>
      </c>
      <c r="P32">
        <v>201.76</v>
      </c>
      <c r="Q32">
        <v>988.14</v>
      </c>
      <c r="R32">
        <v>48.46</v>
      </c>
      <c r="S32">
        <v>35.43</v>
      </c>
      <c r="T32">
        <v>5449.69</v>
      </c>
      <c r="U32">
        <v>0.73</v>
      </c>
      <c r="V32">
        <v>0.87</v>
      </c>
      <c r="W32">
        <v>3</v>
      </c>
      <c r="X32">
        <v>0.35</v>
      </c>
      <c r="Y32">
        <v>1</v>
      </c>
      <c r="Z32">
        <v>10</v>
      </c>
    </row>
    <row r="33" spans="1:26" x14ac:dyDescent="0.3">
      <c r="A33">
        <v>31</v>
      </c>
      <c r="B33">
        <v>135</v>
      </c>
      <c r="C33" t="s">
        <v>26</v>
      </c>
      <c r="D33">
        <v>5.9329999999999998</v>
      </c>
      <c r="E33">
        <v>16.86</v>
      </c>
      <c r="F33">
        <v>13.09</v>
      </c>
      <c r="G33">
        <v>43.64</v>
      </c>
      <c r="H33">
        <v>0.56000000000000005</v>
      </c>
      <c r="I33">
        <v>18</v>
      </c>
      <c r="J33">
        <v>278.13</v>
      </c>
      <c r="K33">
        <v>59.89</v>
      </c>
      <c r="L33">
        <v>8.75</v>
      </c>
      <c r="M33">
        <v>16</v>
      </c>
      <c r="N33">
        <v>74.5</v>
      </c>
      <c r="O33">
        <v>34537.410000000003</v>
      </c>
      <c r="P33">
        <v>201.38</v>
      </c>
      <c r="Q33">
        <v>988.11</v>
      </c>
      <c r="R33">
        <v>48.36</v>
      </c>
      <c r="S33">
        <v>35.43</v>
      </c>
      <c r="T33">
        <v>5401.17</v>
      </c>
      <c r="U33">
        <v>0.73</v>
      </c>
      <c r="V33">
        <v>0.87</v>
      </c>
      <c r="W33">
        <v>2.99</v>
      </c>
      <c r="X33">
        <v>0.34</v>
      </c>
      <c r="Y33">
        <v>1</v>
      </c>
      <c r="Z33">
        <v>10</v>
      </c>
    </row>
    <row r="34" spans="1:26" x14ac:dyDescent="0.3">
      <c r="A34">
        <v>32</v>
      </c>
      <c r="B34">
        <v>135</v>
      </c>
      <c r="C34" t="s">
        <v>26</v>
      </c>
      <c r="D34">
        <v>5.9555999999999996</v>
      </c>
      <c r="E34">
        <v>16.79</v>
      </c>
      <c r="F34">
        <v>13.08</v>
      </c>
      <c r="G34">
        <v>46.16</v>
      </c>
      <c r="H34">
        <v>0.57999999999999996</v>
      </c>
      <c r="I34">
        <v>17</v>
      </c>
      <c r="J34">
        <v>278.62</v>
      </c>
      <c r="K34">
        <v>59.89</v>
      </c>
      <c r="L34">
        <v>9</v>
      </c>
      <c r="M34">
        <v>15</v>
      </c>
      <c r="N34">
        <v>74.739999999999995</v>
      </c>
      <c r="O34">
        <v>34597.800000000003</v>
      </c>
      <c r="P34">
        <v>199.39</v>
      </c>
      <c r="Q34">
        <v>988.09</v>
      </c>
      <c r="R34">
        <v>47.95</v>
      </c>
      <c r="S34">
        <v>35.43</v>
      </c>
      <c r="T34">
        <v>5199.49</v>
      </c>
      <c r="U34">
        <v>0.74</v>
      </c>
      <c r="V34">
        <v>0.87</v>
      </c>
      <c r="W34">
        <v>2.99</v>
      </c>
      <c r="X34">
        <v>0.32</v>
      </c>
      <c r="Y34">
        <v>1</v>
      </c>
      <c r="Z34">
        <v>10</v>
      </c>
    </row>
    <row r="35" spans="1:26" x14ac:dyDescent="0.3">
      <c r="A35">
        <v>33</v>
      </c>
      <c r="B35">
        <v>135</v>
      </c>
      <c r="C35" t="s">
        <v>26</v>
      </c>
      <c r="D35">
        <v>5.9570999999999996</v>
      </c>
      <c r="E35">
        <v>16.79</v>
      </c>
      <c r="F35">
        <v>13.07</v>
      </c>
      <c r="G35">
        <v>46.14</v>
      </c>
      <c r="H35">
        <v>0.59</v>
      </c>
      <c r="I35">
        <v>17</v>
      </c>
      <c r="J35">
        <v>279.11</v>
      </c>
      <c r="K35">
        <v>59.89</v>
      </c>
      <c r="L35">
        <v>9.25</v>
      </c>
      <c r="M35">
        <v>15</v>
      </c>
      <c r="N35">
        <v>74.98</v>
      </c>
      <c r="O35">
        <v>34658.269999999997</v>
      </c>
      <c r="P35">
        <v>198.96</v>
      </c>
      <c r="Q35">
        <v>988.15</v>
      </c>
      <c r="R35">
        <v>47.73</v>
      </c>
      <c r="S35">
        <v>35.43</v>
      </c>
      <c r="T35">
        <v>5089.12</v>
      </c>
      <c r="U35">
        <v>0.74</v>
      </c>
      <c r="V35">
        <v>0.87</v>
      </c>
      <c r="W35">
        <v>2.99</v>
      </c>
      <c r="X35">
        <v>0.32</v>
      </c>
      <c r="Y35">
        <v>1</v>
      </c>
      <c r="Z35">
        <v>10</v>
      </c>
    </row>
    <row r="36" spans="1:26" x14ac:dyDescent="0.3">
      <c r="A36">
        <v>34</v>
      </c>
      <c r="B36">
        <v>135</v>
      </c>
      <c r="C36" t="s">
        <v>26</v>
      </c>
      <c r="D36">
        <v>5.9835000000000003</v>
      </c>
      <c r="E36">
        <v>16.71</v>
      </c>
      <c r="F36">
        <v>13.05</v>
      </c>
      <c r="G36">
        <v>48.94</v>
      </c>
      <c r="H36">
        <v>0.6</v>
      </c>
      <c r="I36">
        <v>16</v>
      </c>
      <c r="J36">
        <v>279.61</v>
      </c>
      <c r="K36">
        <v>59.89</v>
      </c>
      <c r="L36">
        <v>9.5</v>
      </c>
      <c r="M36">
        <v>14</v>
      </c>
      <c r="N36">
        <v>75.22</v>
      </c>
      <c r="O36">
        <v>34718.839999999997</v>
      </c>
      <c r="P36">
        <v>198.24</v>
      </c>
      <c r="Q36">
        <v>988.08</v>
      </c>
      <c r="R36">
        <v>46.99</v>
      </c>
      <c r="S36">
        <v>35.43</v>
      </c>
      <c r="T36">
        <v>4727.6000000000004</v>
      </c>
      <c r="U36">
        <v>0.75</v>
      </c>
      <c r="V36">
        <v>0.87</v>
      </c>
      <c r="W36">
        <v>2.99</v>
      </c>
      <c r="X36">
        <v>0.3</v>
      </c>
      <c r="Y36">
        <v>1</v>
      </c>
      <c r="Z36">
        <v>10</v>
      </c>
    </row>
    <row r="37" spans="1:26" x14ac:dyDescent="0.3">
      <c r="A37">
        <v>35</v>
      </c>
      <c r="B37">
        <v>135</v>
      </c>
      <c r="C37" t="s">
        <v>26</v>
      </c>
      <c r="D37">
        <v>5.9863</v>
      </c>
      <c r="E37">
        <v>16.7</v>
      </c>
      <c r="F37">
        <v>13.04</v>
      </c>
      <c r="G37">
        <v>48.91</v>
      </c>
      <c r="H37">
        <v>0.62</v>
      </c>
      <c r="I37">
        <v>16</v>
      </c>
      <c r="J37">
        <v>280.10000000000002</v>
      </c>
      <c r="K37">
        <v>59.89</v>
      </c>
      <c r="L37">
        <v>9.75</v>
      </c>
      <c r="M37">
        <v>14</v>
      </c>
      <c r="N37">
        <v>75.459999999999994</v>
      </c>
      <c r="O37">
        <v>34779.51</v>
      </c>
      <c r="P37">
        <v>197.72</v>
      </c>
      <c r="Q37">
        <v>988.17</v>
      </c>
      <c r="R37">
        <v>46.85</v>
      </c>
      <c r="S37">
        <v>35.43</v>
      </c>
      <c r="T37">
        <v>4653.9799999999996</v>
      </c>
      <c r="U37">
        <v>0.76</v>
      </c>
      <c r="V37">
        <v>0.87</v>
      </c>
      <c r="W37">
        <v>2.99</v>
      </c>
      <c r="X37">
        <v>0.28999999999999998</v>
      </c>
      <c r="Y37">
        <v>1</v>
      </c>
      <c r="Z37">
        <v>10</v>
      </c>
    </row>
    <row r="38" spans="1:26" x14ac:dyDescent="0.3">
      <c r="A38">
        <v>36</v>
      </c>
      <c r="B38">
        <v>135</v>
      </c>
      <c r="C38" t="s">
        <v>26</v>
      </c>
      <c r="D38">
        <v>5.9821</v>
      </c>
      <c r="E38">
        <v>16.72</v>
      </c>
      <c r="F38">
        <v>13.05</v>
      </c>
      <c r="G38">
        <v>48.96</v>
      </c>
      <c r="H38">
        <v>0.63</v>
      </c>
      <c r="I38">
        <v>16</v>
      </c>
      <c r="J38">
        <v>280.58999999999997</v>
      </c>
      <c r="K38">
        <v>59.89</v>
      </c>
      <c r="L38">
        <v>10</v>
      </c>
      <c r="M38">
        <v>14</v>
      </c>
      <c r="N38">
        <v>75.7</v>
      </c>
      <c r="O38">
        <v>34840.269999999997</v>
      </c>
      <c r="P38">
        <v>196.69</v>
      </c>
      <c r="Q38">
        <v>988.08</v>
      </c>
      <c r="R38">
        <v>47.24</v>
      </c>
      <c r="S38">
        <v>35.43</v>
      </c>
      <c r="T38">
        <v>4850.57</v>
      </c>
      <c r="U38">
        <v>0.75</v>
      </c>
      <c r="V38">
        <v>0.87</v>
      </c>
      <c r="W38">
        <v>2.99</v>
      </c>
      <c r="X38">
        <v>0.3</v>
      </c>
      <c r="Y38">
        <v>1</v>
      </c>
      <c r="Z38">
        <v>10</v>
      </c>
    </row>
    <row r="39" spans="1:26" x14ac:dyDescent="0.3">
      <c r="A39">
        <v>37</v>
      </c>
      <c r="B39">
        <v>135</v>
      </c>
      <c r="C39" t="s">
        <v>26</v>
      </c>
      <c r="D39">
        <v>6.0060000000000002</v>
      </c>
      <c r="E39">
        <v>16.649999999999999</v>
      </c>
      <c r="F39">
        <v>13.04</v>
      </c>
      <c r="G39">
        <v>52.15</v>
      </c>
      <c r="H39">
        <v>0.65</v>
      </c>
      <c r="I39">
        <v>15</v>
      </c>
      <c r="J39">
        <v>281.08</v>
      </c>
      <c r="K39">
        <v>59.89</v>
      </c>
      <c r="L39">
        <v>10.25</v>
      </c>
      <c r="M39">
        <v>13</v>
      </c>
      <c r="N39">
        <v>75.95</v>
      </c>
      <c r="O39">
        <v>34901.129999999997</v>
      </c>
      <c r="P39">
        <v>196.18</v>
      </c>
      <c r="Q39">
        <v>988.14</v>
      </c>
      <c r="R39">
        <v>46.7</v>
      </c>
      <c r="S39">
        <v>35.43</v>
      </c>
      <c r="T39">
        <v>4588.3599999999997</v>
      </c>
      <c r="U39">
        <v>0.76</v>
      </c>
      <c r="V39">
        <v>0.87</v>
      </c>
      <c r="W39">
        <v>2.99</v>
      </c>
      <c r="X39">
        <v>0.28000000000000003</v>
      </c>
      <c r="Y39">
        <v>1</v>
      </c>
      <c r="Z39">
        <v>10</v>
      </c>
    </row>
    <row r="40" spans="1:26" x14ac:dyDescent="0.3">
      <c r="A40">
        <v>38</v>
      </c>
      <c r="B40">
        <v>135</v>
      </c>
      <c r="C40" t="s">
        <v>26</v>
      </c>
      <c r="D40">
        <v>6.0121000000000002</v>
      </c>
      <c r="E40">
        <v>16.63</v>
      </c>
      <c r="F40">
        <v>13.02</v>
      </c>
      <c r="G40">
        <v>52.09</v>
      </c>
      <c r="H40">
        <v>0.66</v>
      </c>
      <c r="I40">
        <v>15</v>
      </c>
      <c r="J40">
        <v>281.58</v>
      </c>
      <c r="K40">
        <v>59.89</v>
      </c>
      <c r="L40">
        <v>10.5</v>
      </c>
      <c r="M40">
        <v>13</v>
      </c>
      <c r="N40">
        <v>76.19</v>
      </c>
      <c r="O40">
        <v>34962.080000000002</v>
      </c>
      <c r="P40">
        <v>195.26</v>
      </c>
      <c r="Q40">
        <v>988.09</v>
      </c>
      <c r="R40">
        <v>46.17</v>
      </c>
      <c r="S40">
        <v>35.43</v>
      </c>
      <c r="T40">
        <v>4321.3999999999996</v>
      </c>
      <c r="U40">
        <v>0.77</v>
      </c>
      <c r="V40">
        <v>0.88</v>
      </c>
      <c r="W40">
        <v>2.98</v>
      </c>
      <c r="X40">
        <v>0.27</v>
      </c>
      <c r="Y40">
        <v>1</v>
      </c>
      <c r="Z40">
        <v>10</v>
      </c>
    </row>
    <row r="41" spans="1:26" x14ac:dyDescent="0.3">
      <c r="A41">
        <v>39</v>
      </c>
      <c r="B41">
        <v>135</v>
      </c>
      <c r="C41" t="s">
        <v>26</v>
      </c>
      <c r="D41">
        <v>6.0353000000000003</v>
      </c>
      <c r="E41">
        <v>16.57</v>
      </c>
      <c r="F41">
        <v>13.01</v>
      </c>
      <c r="G41">
        <v>55.75</v>
      </c>
      <c r="H41">
        <v>0.68</v>
      </c>
      <c r="I41">
        <v>14</v>
      </c>
      <c r="J41">
        <v>282.07</v>
      </c>
      <c r="K41">
        <v>59.89</v>
      </c>
      <c r="L41">
        <v>10.75</v>
      </c>
      <c r="M41">
        <v>12</v>
      </c>
      <c r="N41">
        <v>76.44</v>
      </c>
      <c r="O41">
        <v>35023.129999999997</v>
      </c>
      <c r="P41">
        <v>194.18</v>
      </c>
      <c r="Q41">
        <v>988.1</v>
      </c>
      <c r="R41">
        <v>45.71</v>
      </c>
      <c r="S41">
        <v>35.43</v>
      </c>
      <c r="T41">
        <v>4097.72</v>
      </c>
      <c r="U41">
        <v>0.78</v>
      </c>
      <c r="V41">
        <v>0.88</v>
      </c>
      <c r="W41">
        <v>2.99</v>
      </c>
      <c r="X41">
        <v>0.25</v>
      </c>
      <c r="Y41">
        <v>1</v>
      </c>
      <c r="Z41">
        <v>10</v>
      </c>
    </row>
    <row r="42" spans="1:26" x14ac:dyDescent="0.3">
      <c r="A42">
        <v>40</v>
      </c>
      <c r="B42">
        <v>135</v>
      </c>
      <c r="C42" t="s">
        <v>26</v>
      </c>
      <c r="D42">
        <v>6.0372000000000003</v>
      </c>
      <c r="E42">
        <v>16.559999999999999</v>
      </c>
      <c r="F42">
        <v>13</v>
      </c>
      <c r="G42">
        <v>55.73</v>
      </c>
      <c r="H42">
        <v>0.69</v>
      </c>
      <c r="I42">
        <v>14</v>
      </c>
      <c r="J42">
        <v>282.57</v>
      </c>
      <c r="K42">
        <v>59.89</v>
      </c>
      <c r="L42">
        <v>11</v>
      </c>
      <c r="M42">
        <v>12</v>
      </c>
      <c r="N42">
        <v>76.680000000000007</v>
      </c>
      <c r="O42">
        <v>35084.28</v>
      </c>
      <c r="P42">
        <v>194.1</v>
      </c>
      <c r="Q42">
        <v>988.08</v>
      </c>
      <c r="R42">
        <v>45.44</v>
      </c>
      <c r="S42">
        <v>35.43</v>
      </c>
      <c r="T42">
        <v>3961.82</v>
      </c>
      <c r="U42">
        <v>0.78</v>
      </c>
      <c r="V42">
        <v>0.88</v>
      </c>
      <c r="W42">
        <v>2.99</v>
      </c>
      <c r="X42">
        <v>0.25</v>
      </c>
      <c r="Y42">
        <v>1</v>
      </c>
      <c r="Z42">
        <v>10</v>
      </c>
    </row>
    <row r="43" spans="1:26" x14ac:dyDescent="0.3">
      <c r="A43">
        <v>41</v>
      </c>
      <c r="B43">
        <v>135</v>
      </c>
      <c r="C43" t="s">
        <v>26</v>
      </c>
      <c r="D43">
        <v>6.0377000000000001</v>
      </c>
      <c r="E43">
        <v>16.559999999999999</v>
      </c>
      <c r="F43">
        <v>13</v>
      </c>
      <c r="G43">
        <v>55.72</v>
      </c>
      <c r="H43">
        <v>0.71</v>
      </c>
      <c r="I43">
        <v>14</v>
      </c>
      <c r="J43">
        <v>283.06</v>
      </c>
      <c r="K43">
        <v>59.89</v>
      </c>
      <c r="L43">
        <v>11.25</v>
      </c>
      <c r="M43">
        <v>12</v>
      </c>
      <c r="N43">
        <v>76.930000000000007</v>
      </c>
      <c r="O43">
        <v>35145.53</v>
      </c>
      <c r="P43">
        <v>192.9</v>
      </c>
      <c r="Q43">
        <v>988.15</v>
      </c>
      <c r="R43">
        <v>45.29</v>
      </c>
      <c r="S43">
        <v>35.43</v>
      </c>
      <c r="T43">
        <v>3883.92</v>
      </c>
      <c r="U43">
        <v>0.78</v>
      </c>
      <c r="V43">
        <v>0.88</v>
      </c>
      <c r="W43">
        <v>2.99</v>
      </c>
      <c r="X43">
        <v>0.25</v>
      </c>
      <c r="Y43">
        <v>1</v>
      </c>
      <c r="Z43">
        <v>10</v>
      </c>
    </row>
    <row r="44" spans="1:26" x14ac:dyDescent="0.3">
      <c r="A44">
        <v>42</v>
      </c>
      <c r="B44">
        <v>135</v>
      </c>
      <c r="C44" t="s">
        <v>26</v>
      </c>
      <c r="D44">
        <v>6.0601000000000003</v>
      </c>
      <c r="E44">
        <v>16.5</v>
      </c>
      <c r="F44">
        <v>12.99</v>
      </c>
      <c r="G44">
        <v>59.96</v>
      </c>
      <c r="H44">
        <v>0.72</v>
      </c>
      <c r="I44">
        <v>13</v>
      </c>
      <c r="J44">
        <v>283.56</v>
      </c>
      <c r="K44">
        <v>59.89</v>
      </c>
      <c r="L44">
        <v>11.5</v>
      </c>
      <c r="M44">
        <v>11</v>
      </c>
      <c r="N44">
        <v>77.180000000000007</v>
      </c>
      <c r="O44">
        <v>35206.879999999997</v>
      </c>
      <c r="P44">
        <v>191.3</v>
      </c>
      <c r="Q44">
        <v>988.14</v>
      </c>
      <c r="R44">
        <v>45.15</v>
      </c>
      <c r="S44">
        <v>35.43</v>
      </c>
      <c r="T44">
        <v>3819.71</v>
      </c>
      <c r="U44">
        <v>0.78</v>
      </c>
      <c r="V44">
        <v>0.88</v>
      </c>
      <c r="W44">
        <v>2.98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135</v>
      </c>
      <c r="C45" t="s">
        <v>26</v>
      </c>
      <c r="D45">
        <v>6.0579000000000001</v>
      </c>
      <c r="E45">
        <v>16.510000000000002</v>
      </c>
      <c r="F45">
        <v>13</v>
      </c>
      <c r="G45">
        <v>59.99</v>
      </c>
      <c r="H45">
        <v>0.74</v>
      </c>
      <c r="I45">
        <v>13</v>
      </c>
      <c r="J45">
        <v>284.06</v>
      </c>
      <c r="K45">
        <v>59.89</v>
      </c>
      <c r="L45">
        <v>11.75</v>
      </c>
      <c r="M45">
        <v>11</v>
      </c>
      <c r="N45">
        <v>77.42</v>
      </c>
      <c r="O45">
        <v>35268.32</v>
      </c>
      <c r="P45">
        <v>191.09</v>
      </c>
      <c r="Q45">
        <v>988.12</v>
      </c>
      <c r="R45">
        <v>45.45</v>
      </c>
      <c r="S45">
        <v>35.43</v>
      </c>
      <c r="T45">
        <v>3971.32</v>
      </c>
      <c r="U45">
        <v>0.78</v>
      </c>
      <c r="V45">
        <v>0.88</v>
      </c>
      <c r="W45">
        <v>2.98</v>
      </c>
      <c r="X45">
        <v>0.24</v>
      </c>
      <c r="Y45">
        <v>1</v>
      </c>
      <c r="Z45">
        <v>10</v>
      </c>
    </row>
    <row r="46" spans="1:26" x14ac:dyDescent="0.3">
      <c r="A46">
        <v>44</v>
      </c>
      <c r="B46">
        <v>135</v>
      </c>
      <c r="C46" t="s">
        <v>26</v>
      </c>
      <c r="D46">
        <v>6.0557999999999996</v>
      </c>
      <c r="E46">
        <v>16.510000000000002</v>
      </c>
      <c r="F46">
        <v>13</v>
      </c>
      <c r="G46">
        <v>60.01</v>
      </c>
      <c r="H46">
        <v>0.75</v>
      </c>
      <c r="I46">
        <v>13</v>
      </c>
      <c r="J46">
        <v>284.56</v>
      </c>
      <c r="K46">
        <v>59.89</v>
      </c>
      <c r="L46">
        <v>12</v>
      </c>
      <c r="M46">
        <v>11</v>
      </c>
      <c r="N46">
        <v>77.67</v>
      </c>
      <c r="O46">
        <v>35329.870000000003</v>
      </c>
      <c r="P46">
        <v>191.05</v>
      </c>
      <c r="Q46">
        <v>988.17</v>
      </c>
      <c r="R46">
        <v>45.4</v>
      </c>
      <c r="S46">
        <v>35.43</v>
      </c>
      <c r="T46">
        <v>3946.86</v>
      </c>
      <c r="U46">
        <v>0.78</v>
      </c>
      <c r="V46">
        <v>0.88</v>
      </c>
      <c r="W46">
        <v>2.99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135</v>
      </c>
      <c r="C47" t="s">
        <v>26</v>
      </c>
      <c r="D47">
        <v>6.0625</v>
      </c>
      <c r="E47">
        <v>16.489999999999998</v>
      </c>
      <c r="F47">
        <v>12.98</v>
      </c>
      <c r="G47">
        <v>59.93</v>
      </c>
      <c r="H47">
        <v>0.77</v>
      </c>
      <c r="I47">
        <v>13</v>
      </c>
      <c r="J47">
        <v>285.06</v>
      </c>
      <c r="K47">
        <v>59.89</v>
      </c>
      <c r="L47">
        <v>12.25</v>
      </c>
      <c r="M47">
        <v>11</v>
      </c>
      <c r="N47">
        <v>77.92</v>
      </c>
      <c r="O47">
        <v>35391.51</v>
      </c>
      <c r="P47">
        <v>188.98</v>
      </c>
      <c r="Q47">
        <v>988.11</v>
      </c>
      <c r="R47">
        <v>44.98</v>
      </c>
      <c r="S47">
        <v>35.43</v>
      </c>
      <c r="T47">
        <v>3738.45</v>
      </c>
      <c r="U47">
        <v>0.79</v>
      </c>
      <c r="V47">
        <v>0.88</v>
      </c>
      <c r="W47">
        <v>2.98</v>
      </c>
      <c r="X47">
        <v>0.23</v>
      </c>
      <c r="Y47">
        <v>1</v>
      </c>
      <c r="Z47">
        <v>10</v>
      </c>
    </row>
    <row r="48" spans="1:26" x14ac:dyDescent="0.3">
      <c r="A48">
        <v>46</v>
      </c>
      <c r="B48">
        <v>135</v>
      </c>
      <c r="C48" t="s">
        <v>26</v>
      </c>
      <c r="D48">
        <v>6.0869999999999997</v>
      </c>
      <c r="E48">
        <v>16.43</v>
      </c>
      <c r="F48">
        <v>12.97</v>
      </c>
      <c r="G48">
        <v>64.84</v>
      </c>
      <c r="H48">
        <v>0.78</v>
      </c>
      <c r="I48">
        <v>12</v>
      </c>
      <c r="J48">
        <v>285.56</v>
      </c>
      <c r="K48">
        <v>59.89</v>
      </c>
      <c r="L48">
        <v>12.5</v>
      </c>
      <c r="M48">
        <v>10</v>
      </c>
      <c r="N48">
        <v>78.17</v>
      </c>
      <c r="O48">
        <v>35453.26</v>
      </c>
      <c r="P48">
        <v>188.01</v>
      </c>
      <c r="Q48">
        <v>988.12</v>
      </c>
      <c r="R48">
        <v>44.44</v>
      </c>
      <c r="S48">
        <v>35.43</v>
      </c>
      <c r="T48">
        <v>3471.51</v>
      </c>
      <c r="U48">
        <v>0.8</v>
      </c>
      <c r="V48">
        <v>0.88</v>
      </c>
      <c r="W48">
        <v>2.98</v>
      </c>
      <c r="X48">
        <v>0.21</v>
      </c>
      <c r="Y48">
        <v>1</v>
      </c>
      <c r="Z48">
        <v>10</v>
      </c>
    </row>
    <row r="49" spans="1:26" x14ac:dyDescent="0.3">
      <c r="A49">
        <v>47</v>
      </c>
      <c r="B49">
        <v>135</v>
      </c>
      <c r="C49" t="s">
        <v>26</v>
      </c>
      <c r="D49">
        <v>6.0877999999999997</v>
      </c>
      <c r="E49">
        <v>16.43</v>
      </c>
      <c r="F49">
        <v>12.97</v>
      </c>
      <c r="G49">
        <v>64.83</v>
      </c>
      <c r="H49">
        <v>0.79</v>
      </c>
      <c r="I49">
        <v>12</v>
      </c>
      <c r="J49">
        <v>286.06</v>
      </c>
      <c r="K49">
        <v>59.89</v>
      </c>
      <c r="L49">
        <v>12.75</v>
      </c>
      <c r="M49">
        <v>10</v>
      </c>
      <c r="N49">
        <v>78.42</v>
      </c>
      <c r="O49">
        <v>35515.1</v>
      </c>
      <c r="P49">
        <v>187.8</v>
      </c>
      <c r="Q49">
        <v>988.18</v>
      </c>
      <c r="R49">
        <v>44.34</v>
      </c>
      <c r="S49">
        <v>35.43</v>
      </c>
      <c r="T49">
        <v>3420.42</v>
      </c>
      <c r="U49">
        <v>0.8</v>
      </c>
      <c r="V49">
        <v>0.88</v>
      </c>
      <c r="W49">
        <v>2.98</v>
      </c>
      <c r="X49">
        <v>0.21</v>
      </c>
      <c r="Y49">
        <v>1</v>
      </c>
      <c r="Z49">
        <v>10</v>
      </c>
    </row>
    <row r="50" spans="1:26" x14ac:dyDescent="0.3">
      <c r="A50">
        <v>48</v>
      </c>
      <c r="B50">
        <v>135</v>
      </c>
      <c r="C50" t="s">
        <v>26</v>
      </c>
      <c r="D50">
        <v>6.0869999999999997</v>
      </c>
      <c r="E50">
        <v>16.43</v>
      </c>
      <c r="F50">
        <v>12.97</v>
      </c>
      <c r="G50">
        <v>64.84</v>
      </c>
      <c r="H50">
        <v>0.81</v>
      </c>
      <c r="I50">
        <v>12</v>
      </c>
      <c r="J50">
        <v>286.56</v>
      </c>
      <c r="K50">
        <v>59.89</v>
      </c>
      <c r="L50">
        <v>13</v>
      </c>
      <c r="M50">
        <v>10</v>
      </c>
      <c r="N50">
        <v>78.680000000000007</v>
      </c>
      <c r="O50">
        <v>35577.18</v>
      </c>
      <c r="P50">
        <v>186.95</v>
      </c>
      <c r="Q50">
        <v>988.09</v>
      </c>
      <c r="R50">
        <v>44.36</v>
      </c>
      <c r="S50">
        <v>35.43</v>
      </c>
      <c r="T50">
        <v>3431.89</v>
      </c>
      <c r="U50">
        <v>0.8</v>
      </c>
      <c r="V50">
        <v>0.88</v>
      </c>
      <c r="W50">
        <v>2.99</v>
      </c>
      <c r="X50">
        <v>0.21</v>
      </c>
      <c r="Y50">
        <v>1</v>
      </c>
      <c r="Z50">
        <v>10</v>
      </c>
    </row>
    <row r="51" spans="1:26" x14ac:dyDescent="0.3">
      <c r="A51">
        <v>49</v>
      </c>
      <c r="B51">
        <v>135</v>
      </c>
      <c r="C51" t="s">
        <v>26</v>
      </c>
      <c r="D51">
        <v>6.0876000000000001</v>
      </c>
      <c r="E51">
        <v>16.43</v>
      </c>
      <c r="F51">
        <v>12.97</v>
      </c>
      <c r="G51">
        <v>64.84</v>
      </c>
      <c r="H51">
        <v>0.82</v>
      </c>
      <c r="I51">
        <v>12</v>
      </c>
      <c r="J51">
        <v>287.07</v>
      </c>
      <c r="K51">
        <v>59.89</v>
      </c>
      <c r="L51">
        <v>13.25</v>
      </c>
      <c r="M51">
        <v>10</v>
      </c>
      <c r="N51">
        <v>78.930000000000007</v>
      </c>
      <c r="O51">
        <v>35639.230000000003</v>
      </c>
      <c r="P51">
        <v>185.71</v>
      </c>
      <c r="Q51">
        <v>988.09</v>
      </c>
      <c r="R51">
        <v>44.42</v>
      </c>
      <c r="S51">
        <v>35.43</v>
      </c>
      <c r="T51">
        <v>3459.65</v>
      </c>
      <c r="U51">
        <v>0.8</v>
      </c>
      <c r="V51">
        <v>0.88</v>
      </c>
      <c r="W51">
        <v>2.98</v>
      </c>
      <c r="X51">
        <v>0.21</v>
      </c>
      <c r="Y51">
        <v>1</v>
      </c>
      <c r="Z51">
        <v>10</v>
      </c>
    </row>
    <row r="52" spans="1:26" x14ac:dyDescent="0.3">
      <c r="A52">
        <v>50</v>
      </c>
      <c r="B52">
        <v>135</v>
      </c>
      <c r="C52" t="s">
        <v>26</v>
      </c>
      <c r="D52">
        <v>6.1085000000000003</v>
      </c>
      <c r="E52">
        <v>16.37</v>
      </c>
      <c r="F52">
        <v>12.96</v>
      </c>
      <c r="G52">
        <v>70.7</v>
      </c>
      <c r="H52">
        <v>0.84</v>
      </c>
      <c r="I52">
        <v>11</v>
      </c>
      <c r="J52">
        <v>287.57</v>
      </c>
      <c r="K52">
        <v>59.89</v>
      </c>
      <c r="L52">
        <v>13.5</v>
      </c>
      <c r="M52">
        <v>9</v>
      </c>
      <c r="N52">
        <v>79.180000000000007</v>
      </c>
      <c r="O52">
        <v>35701.379999999997</v>
      </c>
      <c r="P52">
        <v>185.3</v>
      </c>
      <c r="Q52">
        <v>988.1</v>
      </c>
      <c r="R52">
        <v>44.22</v>
      </c>
      <c r="S52">
        <v>35.43</v>
      </c>
      <c r="T52">
        <v>3367.01</v>
      </c>
      <c r="U52">
        <v>0.8</v>
      </c>
      <c r="V52">
        <v>0.88</v>
      </c>
      <c r="W52">
        <v>2.98</v>
      </c>
      <c r="X52">
        <v>0.21</v>
      </c>
      <c r="Y52">
        <v>1</v>
      </c>
      <c r="Z52">
        <v>10</v>
      </c>
    </row>
    <row r="53" spans="1:26" x14ac:dyDescent="0.3">
      <c r="A53">
        <v>51</v>
      </c>
      <c r="B53">
        <v>135</v>
      </c>
      <c r="C53" t="s">
        <v>26</v>
      </c>
      <c r="D53">
        <v>6.1125999999999996</v>
      </c>
      <c r="E53">
        <v>16.36</v>
      </c>
      <c r="F53">
        <v>12.95</v>
      </c>
      <c r="G53">
        <v>70.64</v>
      </c>
      <c r="H53">
        <v>0.85</v>
      </c>
      <c r="I53">
        <v>11</v>
      </c>
      <c r="J53">
        <v>288.08</v>
      </c>
      <c r="K53">
        <v>59.89</v>
      </c>
      <c r="L53">
        <v>13.75</v>
      </c>
      <c r="M53">
        <v>9</v>
      </c>
      <c r="N53">
        <v>79.44</v>
      </c>
      <c r="O53">
        <v>35763.64</v>
      </c>
      <c r="P53">
        <v>184.73</v>
      </c>
      <c r="Q53">
        <v>988.08</v>
      </c>
      <c r="R53">
        <v>43.78</v>
      </c>
      <c r="S53">
        <v>35.43</v>
      </c>
      <c r="T53">
        <v>3144.92</v>
      </c>
      <c r="U53">
        <v>0.81</v>
      </c>
      <c r="V53">
        <v>0.88</v>
      </c>
      <c r="W53">
        <v>2.98</v>
      </c>
      <c r="X53">
        <v>0.2</v>
      </c>
      <c r="Y53">
        <v>1</v>
      </c>
      <c r="Z53">
        <v>10</v>
      </c>
    </row>
    <row r="54" spans="1:26" x14ac:dyDescent="0.3">
      <c r="A54">
        <v>52</v>
      </c>
      <c r="B54">
        <v>135</v>
      </c>
      <c r="C54" t="s">
        <v>26</v>
      </c>
      <c r="D54">
        <v>6.1125999999999996</v>
      </c>
      <c r="E54">
        <v>16.36</v>
      </c>
      <c r="F54">
        <v>12.95</v>
      </c>
      <c r="G54">
        <v>70.64</v>
      </c>
      <c r="H54">
        <v>0.86</v>
      </c>
      <c r="I54">
        <v>11</v>
      </c>
      <c r="J54">
        <v>288.58</v>
      </c>
      <c r="K54">
        <v>59.89</v>
      </c>
      <c r="L54">
        <v>14</v>
      </c>
      <c r="M54">
        <v>9</v>
      </c>
      <c r="N54">
        <v>79.69</v>
      </c>
      <c r="O54">
        <v>35826</v>
      </c>
      <c r="P54">
        <v>183.75</v>
      </c>
      <c r="Q54">
        <v>988.14</v>
      </c>
      <c r="R54">
        <v>43.85</v>
      </c>
      <c r="S54">
        <v>35.43</v>
      </c>
      <c r="T54">
        <v>3183.49</v>
      </c>
      <c r="U54">
        <v>0.81</v>
      </c>
      <c r="V54">
        <v>0.88</v>
      </c>
      <c r="W54">
        <v>2.98</v>
      </c>
      <c r="X54">
        <v>0.2</v>
      </c>
      <c r="Y54">
        <v>1</v>
      </c>
      <c r="Z54">
        <v>10</v>
      </c>
    </row>
    <row r="55" spans="1:26" x14ac:dyDescent="0.3">
      <c r="A55">
        <v>53</v>
      </c>
      <c r="B55">
        <v>135</v>
      </c>
      <c r="C55" t="s">
        <v>26</v>
      </c>
      <c r="D55">
        <v>6.1139999999999999</v>
      </c>
      <c r="E55">
        <v>16.36</v>
      </c>
      <c r="F55">
        <v>12.95</v>
      </c>
      <c r="G55">
        <v>70.62</v>
      </c>
      <c r="H55">
        <v>0.88</v>
      </c>
      <c r="I55">
        <v>11</v>
      </c>
      <c r="J55">
        <v>289.08999999999997</v>
      </c>
      <c r="K55">
        <v>59.89</v>
      </c>
      <c r="L55">
        <v>14.25</v>
      </c>
      <c r="M55">
        <v>9</v>
      </c>
      <c r="N55">
        <v>79.95</v>
      </c>
      <c r="O55">
        <v>35888.47</v>
      </c>
      <c r="P55">
        <v>182.36</v>
      </c>
      <c r="Q55">
        <v>988.11</v>
      </c>
      <c r="R55">
        <v>43.88</v>
      </c>
      <c r="S55">
        <v>35.43</v>
      </c>
      <c r="T55">
        <v>3196.4</v>
      </c>
      <c r="U55">
        <v>0.81</v>
      </c>
      <c r="V55">
        <v>0.88</v>
      </c>
      <c r="W55">
        <v>2.98</v>
      </c>
      <c r="X55">
        <v>0.19</v>
      </c>
      <c r="Y55">
        <v>1</v>
      </c>
      <c r="Z55">
        <v>10</v>
      </c>
    </row>
    <row r="56" spans="1:26" x14ac:dyDescent="0.3">
      <c r="A56">
        <v>54</v>
      </c>
      <c r="B56">
        <v>135</v>
      </c>
      <c r="C56" t="s">
        <v>26</v>
      </c>
      <c r="D56">
        <v>6.1391999999999998</v>
      </c>
      <c r="E56">
        <v>16.29</v>
      </c>
      <c r="F56">
        <v>12.93</v>
      </c>
      <c r="G56">
        <v>77.58</v>
      </c>
      <c r="H56">
        <v>0.89</v>
      </c>
      <c r="I56">
        <v>10</v>
      </c>
      <c r="J56">
        <v>289.60000000000002</v>
      </c>
      <c r="K56">
        <v>59.89</v>
      </c>
      <c r="L56">
        <v>14.5</v>
      </c>
      <c r="M56">
        <v>8</v>
      </c>
      <c r="N56">
        <v>80.209999999999994</v>
      </c>
      <c r="O56">
        <v>35951.040000000001</v>
      </c>
      <c r="P56">
        <v>180.78</v>
      </c>
      <c r="Q56">
        <v>988.11</v>
      </c>
      <c r="R56">
        <v>43.05</v>
      </c>
      <c r="S56">
        <v>35.43</v>
      </c>
      <c r="T56">
        <v>2785.26</v>
      </c>
      <c r="U56">
        <v>0.82</v>
      </c>
      <c r="V56">
        <v>0.88</v>
      </c>
      <c r="W56">
        <v>2.99</v>
      </c>
      <c r="X56">
        <v>0.18</v>
      </c>
      <c r="Y56">
        <v>1</v>
      </c>
      <c r="Z56">
        <v>10</v>
      </c>
    </row>
    <row r="57" spans="1:26" x14ac:dyDescent="0.3">
      <c r="A57">
        <v>55</v>
      </c>
      <c r="B57">
        <v>135</v>
      </c>
      <c r="C57" t="s">
        <v>26</v>
      </c>
      <c r="D57">
        <v>6.1405000000000003</v>
      </c>
      <c r="E57">
        <v>16.29</v>
      </c>
      <c r="F57">
        <v>12.93</v>
      </c>
      <c r="G57">
        <v>77.56</v>
      </c>
      <c r="H57">
        <v>0.91</v>
      </c>
      <c r="I57">
        <v>10</v>
      </c>
      <c r="J57">
        <v>290.10000000000002</v>
      </c>
      <c r="K57">
        <v>59.89</v>
      </c>
      <c r="L57">
        <v>14.75</v>
      </c>
      <c r="M57">
        <v>8</v>
      </c>
      <c r="N57">
        <v>80.47</v>
      </c>
      <c r="O57">
        <v>36013.72</v>
      </c>
      <c r="P57">
        <v>179.66</v>
      </c>
      <c r="Q57">
        <v>988.09</v>
      </c>
      <c r="R57">
        <v>43.09</v>
      </c>
      <c r="S57">
        <v>35.43</v>
      </c>
      <c r="T57">
        <v>2803.83</v>
      </c>
      <c r="U57">
        <v>0.82</v>
      </c>
      <c r="V57">
        <v>0.88</v>
      </c>
      <c r="W57">
        <v>2.98</v>
      </c>
      <c r="X57">
        <v>0.17</v>
      </c>
      <c r="Y57">
        <v>1</v>
      </c>
      <c r="Z57">
        <v>10</v>
      </c>
    </row>
    <row r="58" spans="1:26" x14ac:dyDescent="0.3">
      <c r="A58">
        <v>56</v>
      </c>
      <c r="B58">
        <v>135</v>
      </c>
      <c r="C58" t="s">
        <v>26</v>
      </c>
      <c r="D58">
        <v>6.1387999999999998</v>
      </c>
      <c r="E58">
        <v>16.29</v>
      </c>
      <c r="F58">
        <v>12.93</v>
      </c>
      <c r="G58">
        <v>77.59</v>
      </c>
      <c r="H58">
        <v>0.92</v>
      </c>
      <c r="I58">
        <v>10</v>
      </c>
      <c r="J58">
        <v>290.61</v>
      </c>
      <c r="K58">
        <v>59.89</v>
      </c>
      <c r="L58">
        <v>15</v>
      </c>
      <c r="M58">
        <v>8</v>
      </c>
      <c r="N58">
        <v>80.73</v>
      </c>
      <c r="O58">
        <v>36076.5</v>
      </c>
      <c r="P58">
        <v>179.18</v>
      </c>
      <c r="Q58">
        <v>988.1</v>
      </c>
      <c r="R58">
        <v>43.38</v>
      </c>
      <c r="S58">
        <v>35.43</v>
      </c>
      <c r="T58">
        <v>2948.89</v>
      </c>
      <c r="U58">
        <v>0.82</v>
      </c>
      <c r="V58">
        <v>0.88</v>
      </c>
      <c r="W58">
        <v>2.98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135</v>
      </c>
      <c r="C59" t="s">
        <v>26</v>
      </c>
      <c r="D59">
        <v>6.1388999999999996</v>
      </c>
      <c r="E59">
        <v>16.29</v>
      </c>
      <c r="F59">
        <v>12.93</v>
      </c>
      <c r="G59">
        <v>77.59</v>
      </c>
      <c r="H59">
        <v>0.93</v>
      </c>
      <c r="I59">
        <v>10</v>
      </c>
      <c r="J59">
        <v>291.12</v>
      </c>
      <c r="K59">
        <v>59.89</v>
      </c>
      <c r="L59">
        <v>15.25</v>
      </c>
      <c r="M59">
        <v>8</v>
      </c>
      <c r="N59">
        <v>80.989999999999995</v>
      </c>
      <c r="O59">
        <v>36139.39</v>
      </c>
      <c r="P59">
        <v>178.79</v>
      </c>
      <c r="Q59">
        <v>988.08</v>
      </c>
      <c r="R59">
        <v>43.27</v>
      </c>
      <c r="S59">
        <v>35.43</v>
      </c>
      <c r="T59">
        <v>2894.67</v>
      </c>
      <c r="U59">
        <v>0.82</v>
      </c>
      <c r="V59">
        <v>0.88</v>
      </c>
      <c r="W59">
        <v>2.98</v>
      </c>
      <c r="X59">
        <v>0.18</v>
      </c>
      <c r="Y59">
        <v>1</v>
      </c>
      <c r="Z59">
        <v>10</v>
      </c>
    </row>
    <row r="60" spans="1:26" x14ac:dyDescent="0.3">
      <c r="A60">
        <v>58</v>
      </c>
      <c r="B60">
        <v>135</v>
      </c>
      <c r="C60" t="s">
        <v>26</v>
      </c>
      <c r="D60">
        <v>6.1417999999999999</v>
      </c>
      <c r="E60">
        <v>16.28</v>
      </c>
      <c r="F60">
        <v>12.92</v>
      </c>
      <c r="G60">
        <v>77.540000000000006</v>
      </c>
      <c r="H60">
        <v>0.95</v>
      </c>
      <c r="I60">
        <v>10</v>
      </c>
      <c r="J60">
        <v>291.63</v>
      </c>
      <c r="K60">
        <v>59.89</v>
      </c>
      <c r="L60">
        <v>15.5</v>
      </c>
      <c r="M60">
        <v>8</v>
      </c>
      <c r="N60">
        <v>81.25</v>
      </c>
      <c r="O60">
        <v>36202.379999999997</v>
      </c>
      <c r="P60">
        <v>177.43</v>
      </c>
      <c r="Q60">
        <v>988.08</v>
      </c>
      <c r="R60">
        <v>43.03</v>
      </c>
      <c r="S60">
        <v>35.43</v>
      </c>
      <c r="T60">
        <v>2774.98</v>
      </c>
      <c r="U60">
        <v>0.82</v>
      </c>
      <c r="V60">
        <v>0.88</v>
      </c>
      <c r="W60">
        <v>2.98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135</v>
      </c>
      <c r="C61" t="s">
        <v>26</v>
      </c>
      <c r="D61">
        <v>6.1643999999999997</v>
      </c>
      <c r="E61">
        <v>16.22</v>
      </c>
      <c r="F61">
        <v>12.91</v>
      </c>
      <c r="G61">
        <v>86.09</v>
      </c>
      <c r="H61">
        <v>0.96</v>
      </c>
      <c r="I61">
        <v>9</v>
      </c>
      <c r="J61">
        <v>292.14999999999998</v>
      </c>
      <c r="K61">
        <v>59.89</v>
      </c>
      <c r="L61">
        <v>15.75</v>
      </c>
      <c r="M61">
        <v>7</v>
      </c>
      <c r="N61">
        <v>81.510000000000005</v>
      </c>
      <c r="O61">
        <v>36265.480000000003</v>
      </c>
      <c r="P61">
        <v>175.75</v>
      </c>
      <c r="Q61">
        <v>988.08</v>
      </c>
      <c r="R61">
        <v>42.7</v>
      </c>
      <c r="S61">
        <v>35.43</v>
      </c>
      <c r="T61">
        <v>2617.6799999999998</v>
      </c>
      <c r="U61">
        <v>0.83</v>
      </c>
      <c r="V61">
        <v>0.88</v>
      </c>
      <c r="W61">
        <v>2.98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135</v>
      </c>
      <c r="C62" t="s">
        <v>26</v>
      </c>
      <c r="D62">
        <v>6.1630000000000003</v>
      </c>
      <c r="E62">
        <v>16.23</v>
      </c>
      <c r="F62">
        <v>12.92</v>
      </c>
      <c r="G62">
        <v>86.12</v>
      </c>
      <c r="H62">
        <v>0.97</v>
      </c>
      <c r="I62">
        <v>9</v>
      </c>
      <c r="J62">
        <v>292.66000000000003</v>
      </c>
      <c r="K62">
        <v>59.89</v>
      </c>
      <c r="L62">
        <v>16</v>
      </c>
      <c r="M62">
        <v>7</v>
      </c>
      <c r="N62">
        <v>81.77</v>
      </c>
      <c r="O62">
        <v>36328.69</v>
      </c>
      <c r="P62">
        <v>175.98</v>
      </c>
      <c r="Q62">
        <v>988.08</v>
      </c>
      <c r="R62">
        <v>42.82</v>
      </c>
      <c r="S62">
        <v>35.43</v>
      </c>
      <c r="T62">
        <v>2674.25</v>
      </c>
      <c r="U62">
        <v>0.83</v>
      </c>
      <c r="V62">
        <v>0.88</v>
      </c>
      <c r="W62">
        <v>2.98</v>
      </c>
      <c r="X62">
        <v>0.16</v>
      </c>
      <c r="Y62">
        <v>1</v>
      </c>
      <c r="Z62">
        <v>10</v>
      </c>
    </row>
    <row r="63" spans="1:26" x14ac:dyDescent="0.3">
      <c r="A63">
        <v>61</v>
      </c>
      <c r="B63">
        <v>135</v>
      </c>
      <c r="C63" t="s">
        <v>26</v>
      </c>
      <c r="D63">
        <v>6.1631999999999998</v>
      </c>
      <c r="E63">
        <v>16.23</v>
      </c>
      <c r="F63">
        <v>12.92</v>
      </c>
      <c r="G63">
        <v>86.11</v>
      </c>
      <c r="H63">
        <v>0.99</v>
      </c>
      <c r="I63">
        <v>9</v>
      </c>
      <c r="J63">
        <v>293.17</v>
      </c>
      <c r="K63">
        <v>59.89</v>
      </c>
      <c r="L63">
        <v>16.25</v>
      </c>
      <c r="M63">
        <v>6</v>
      </c>
      <c r="N63">
        <v>82.03</v>
      </c>
      <c r="O63">
        <v>36392.01</v>
      </c>
      <c r="P63">
        <v>176.08</v>
      </c>
      <c r="Q63">
        <v>988.16</v>
      </c>
      <c r="R63">
        <v>42.85</v>
      </c>
      <c r="S63">
        <v>35.43</v>
      </c>
      <c r="T63">
        <v>2692.95</v>
      </c>
      <c r="U63">
        <v>0.83</v>
      </c>
      <c r="V63">
        <v>0.88</v>
      </c>
      <c r="W63">
        <v>2.98</v>
      </c>
      <c r="X63">
        <v>0.16</v>
      </c>
      <c r="Y63">
        <v>1</v>
      </c>
      <c r="Z63">
        <v>10</v>
      </c>
    </row>
    <row r="64" spans="1:26" x14ac:dyDescent="0.3">
      <c r="A64">
        <v>62</v>
      </c>
      <c r="B64">
        <v>135</v>
      </c>
      <c r="C64" t="s">
        <v>26</v>
      </c>
      <c r="D64">
        <v>6.1623000000000001</v>
      </c>
      <c r="E64">
        <v>16.23</v>
      </c>
      <c r="F64">
        <v>12.92</v>
      </c>
      <c r="G64">
        <v>86.13</v>
      </c>
      <c r="H64">
        <v>1</v>
      </c>
      <c r="I64">
        <v>9</v>
      </c>
      <c r="J64">
        <v>293.69</v>
      </c>
      <c r="K64">
        <v>59.89</v>
      </c>
      <c r="L64">
        <v>16.5</v>
      </c>
      <c r="M64">
        <v>4</v>
      </c>
      <c r="N64">
        <v>82.3</v>
      </c>
      <c r="O64">
        <v>36455.440000000002</v>
      </c>
      <c r="P64">
        <v>175.78</v>
      </c>
      <c r="Q64">
        <v>988.14</v>
      </c>
      <c r="R64">
        <v>42.82</v>
      </c>
      <c r="S64">
        <v>35.43</v>
      </c>
      <c r="T64">
        <v>2674.1</v>
      </c>
      <c r="U64">
        <v>0.83</v>
      </c>
      <c r="V64">
        <v>0.88</v>
      </c>
      <c r="W64">
        <v>2.98</v>
      </c>
      <c r="X64">
        <v>0.17</v>
      </c>
      <c r="Y64">
        <v>1</v>
      </c>
      <c r="Z64">
        <v>10</v>
      </c>
    </row>
    <row r="65" spans="1:26" x14ac:dyDescent="0.3">
      <c r="A65">
        <v>63</v>
      </c>
      <c r="B65">
        <v>135</v>
      </c>
      <c r="C65" t="s">
        <v>26</v>
      </c>
      <c r="D65">
        <v>6.1626000000000003</v>
      </c>
      <c r="E65">
        <v>16.23</v>
      </c>
      <c r="F65">
        <v>12.92</v>
      </c>
      <c r="G65">
        <v>86.13</v>
      </c>
      <c r="H65">
        <v>1.01</v>
      </c>
      <c r="I65">
        <v>9</v>
      </c>
      <c r="J65">
        <v>294.2</v>
      </c>
      <c r="K65">
        <v>59.89</v>
      </c>
      <c r="L65">
        <v>16.75</v>
      </c>
      <c r="M65">
        <v>4</v>
      </c>
      <c r="N65">
        <v>82.56</v>
      </c>
      <c r="O65">
        <v>36518.97</v>
      </c>
      <c r="P65">
        <v>175.94</v>
      </c>
      <c r="Q65">
        <v>988.14</v>
      </c>
      <c r="R65">
        <v>42.81</v>
      </c>
      <c r="S65">
        <v>35.43</v>
      </c>
      <c r="T65">
        <v>2669.92</v>
      </c>
      <c r="U65">
        <v>0.83</v>
      </c>
      <c r="V65">
        <v>0.88</v>
      </c>
      <c r="W65">
        <v>2.98</v>
      </c>
      <c r="X65">
        <v>0.17</v>
      </c>
      <c r="Y65">
        <v>1</v>
      </c>
      <c r="Z65">
        <v>10</v>
      </c>
    </row>
    <row r="66" spans="1:26" x14ac:dyDescent="0.3">
      <c r="A66">
        <v>64</v>
      </c>
      <c r="B66">
        <v>135</v>
      </c>
      <c r="C66" t="s">
        <v>26</v>
      </c>
      <c r="D66">
        <v>6.1646000000000001</v>
      </c>
      <c r="E66">
        <v>16.22</v>
      </c>
      <c r="F66">
        <v>12.91</v>
      </c>
      <c r="G66">
        <v>86.09</v>
      </c>
      <c r="H66">
        <v>1.03</v>
      </c>
      <c r="I66">
        <v>9</v>
      </c>
      <c r="J66">
        <v>294.72000000000003</v>
      </c>
      <c r="K66">
        <v>59.89</v>
      </c>
      <c r="L66">
        <v>17</v>
      </c>
      <c r="M66">
        <v>2</v>
      </c>
      <c r="N66">
        <v>82.83</v>
      </c>
      <c r="O66">
        <v>36582.620000000003</v>
      </c>
      <c r="P66">
        <v>174.68</v>
      </c>
      <c r="Q66">
        <v>988.2</v>
      </c>
      <c r="R66">
        <v>42.59</v>
      </c>
      <c r="S66">
        <v>35.43</v>
      </c>
      <c r="T66">
        <v>2561.08</v>
      </c>
      <c r="U66">
        <v>0.83</v>
      </c>
      <c r="V66">
        <v>0.88</v>
      </c>
      <c r="W66">
        <v>2.98</v>
      </c>
      <c r="X66">
        <v>0.16</v>
      </c>
      <c r="Y66">
        <v>1</v>
      </c>
      <c r="Z66">
        <v>10</v>
      </c>
    </row>
    <row r="67" spans="1:26" x14ac:dyDescent="0.3">
      <c r="A67">
        <v>65</v>
      </c>
      <c r="B67">
        <v>135</v>
      </c>
      <c r="C67" t="s">
        <v>26</v>
      </c>
      <c r="D67">
        <v>6.1649000000000003</v>
      </c>
      <c r="E67">
        <v>16.22</v>
      </c>
      <c r="F67">
        <v>12.91</v>
      </c>
      <c r="G67">
        <v>86.09</v>
      </c>
      <c r="H67">
        <v>1.04</v>
      </c>
      <c r="I67">
        <v>9</v>
      </c>
      <c r="J67">
        <v>295.23</v>
      </c>
      <c r="K67">
        <v>59.89</v>
      </c>
      <c r="L67">
        <v>17.25</v>
      </c>
      <c r="M67">
        <v>1</v>
      </c>
      <c r="N67">
        <v>83.1</v>
      </c>
      <c r="O67">
        <v>36646.379999999997</v>
      </c>
      <c r="P67">
        <v>174.71</v>
      </c>
      <c r="Q67">
        <v>988.18</v>
      </c>
      <c r="R67">
        <v>42.57</v>
      </c>
      <c r="S67">
        <v>35.43</v>
      </c>
      <c r="T67">
        <v>2549.46</v>
      </c>
      <c r="U67">
        <v>0.83</v>
      </c>
      <c r="V67">
        <v>0.88</v>
      </c>
      <c r="W67">
        <v>2.98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135</v>
      </c>
      <c r="C68" t="s">
        <v>26</v>
      </c>
      <c r="D68">
        <v>6.1642999999999999</v>
      </c>
      <c r="E68">
        <v>16.22</v>
      </c>
      <c r="F68">
        <v>12.91</v>
      </c>
      <c r="G68">
        <v>86.1</v>
      </c>
      <c r="H68">
        <v>1.05</v>
      </c>
      <c r="I68">
        <v>9</v>
      </c>
      <c r="J68">
        <v>295.75</v>
      </c>
      <c r="K68">
        <v>59.89</v>
      </c>
      <c r="L68">
        <v>17.5</v>
      </c>
      <c r="M68">
        <v>0</v>
      </c>
      <c r="N68">
        <v>83.36</v>
      </c>
      <c r="O68">
        <v>36710.239999999998</v>
      </c>
      <c r="P68">
        <v>174.9</v>
      </c>
      <c r="Q68">
        <v>988.18</v>
      </c>
      <c r="R68">
        <v>42.54</v>
      </c>
      <c r="S68">
        <v>35.43</v>
      </c>
      <c r="T68">
        <v>2536.19</v>
      </c>
      <c r="U68">
        <v>0.83</v>
      </c>
      <c r="V68">
        <v>0.88</v>
      </c>
      <c r="W68">
        <v>2.98</v>
      </c>
      <c r="X68">
        <v>0.16</v>
      </c>
      <c r="Y68">
        <v>1</v>
      </c>
      <c r="Z6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ilha16"/>
  <dimension ref="A1:Z3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80</v>
      </c>
      <c r="C2" t="s">
        <v>26</v>
      </c>
      <c r="D2">
        <v>4.4992999999999999</v>
      </c>
      <c r="E2">
        <v>22.23</v>
      </c>
      <c r="F2">
        <v>15.52</v>
      </c>
      <c r="G2">
        <v>6.85</v>
      </c>
      <c r="H2">
        <v>0.11</v>
      </c>
      <c r="I2">
        <v>136</v>
      </c>
      <c r="J2">
        <v>159.12</v>
      </c>
      <c r="K2">
        <v>50.28</v>
      </c>
      <c r="L2">
        <v>1</v>
      </c>
      <c r="M2">
        <v>134</v>
      </c>
      <c r="N2">
        <v>27.84</v>
      </c>
      <c r="O2">
        <v>19859.16</v>
      </c>
      <c r="P2">
        <v>188.14</v>
      </c>
      <c r="Q2">
        <v>988.5</v>
      </c>
      <c r="R2">
        <v>123.55</v>
      </c>
      <c r="S2">
        <v>35.43</v>
      </c>
      <c r="T2">
        <v>42405.31</v>
      </c>
      <c r="U2">
        <v>0.28999999999999998</v>
      </c>
      <c r="V2">
        <v>0.73</v>
      </c>
      <c r="W2">
        <v>3.19</v>
      </c>
      <c r="X2">
        <v>2.76</v>
      </c>
      <c r="Y2">
        <v>1</v>
      </c>
      <c r="Z2">
        <v>10</v>
      </c>
    </row>
    <row r="3" spans="1:26" x14ac:dyDescent="0.3">
      <c r="A3">
        <v>1</v>
      </c>
      <c r="B3">
        <v>80</v>
      </c>
      <c r="C3" t="s">
        <v>26</v>
      </c>
      <c r="D3">
        <v>4.8735999999999997</v>
      </c>
      <c r="E3">
        <v>20.52</v>
      </c>
      <c r="F3">
        <v>14.84</v>
      </c>
      <c r="G3">
        <v>8.56</v>
      </c>
      <c r="H3">
        <v>0.14000000000000001</v>
      </c>
      <c r="I3">
        <v>104</v>
      </c>
      <c r="J3">
        <v>159.47999999999999</v>
      </c>
      <c r="K3">
        <v>50.28</v>
      </c>
      <c r="L3">
        <v>1.25</v>
      </c>
      <c r="M3">
        <v>102</v>
      </c>
      <c r="N3">
        <v>27.95</v>
      </c>
      <c r="O3">
        <v>19902.91</v>
      </c>
      <c r="P3">
        <v>178.58</v>
      </c>
      <c r="Q3">
        <v>988.26</v>
      </c>
      <c r="R3">
        <v>102.99</v>
      </c>
      <c r="S3">
        <v>35.43</v>
      </c>
      <c r="T3">
        <v>32286.93</v>
      </c>
      <c r="U3">
        <v>0.34</v>
      </c>
      <c r="V3">
        <v>0.77</v>
      </c>
      <c r="W3">
        <v>3.13</v>
      </c>
      <c r="X3">
        <v>2.09</v>
      </c>
      <c r="Y3">
        <v>1</v>
      </c>
      <c r="Z3">
        <v>10</v>
      </c>
    </row>
    <row r="4" spans="1:26" x14ac:dyDescent="0.3">
      <c r="A4">
        <v>2</v>
      </c>
      <c r="B4">
        <v>80</v>
      </c>
      <c r="C4" t="s">
        <v>26</v>
      </c>
      <c r="D4">
        <v>5.1353999999999997</v>
      </c>
      <c r="E4">
        <v>19.47</v>
      </c>
      <c r="F4">
        <v>14.44</v>
      </c>
      <c r="G4">
        <v>10.32</v>
      </c>
      <c r="H4">
        <v>0.17</v>
      </c>
      <c r="I4">
        <v>84</v>
      </c>
      <c r="J4">
        <v>159.83000000000001</v>
      </c>
      <c r="K4">
        <v>50.28</v>
      </c>
      <c r="L4">
        <v>1.5</v>
      </c>
      <c r="M4">
        <v>82</v>
      </c>
      <c r="N4">
        <v>28.05</v>
      </c>
      <c r="O4">
        <v>19946.71</v>
      </c>
      <c r="P4">
        <v>172.47</v>
      </c>
      <c r="Q4">
        <v>988.5</v>
      </c>
      <c r="R4">
        <v>90.4</v>
      </c>
      <c r="S4">
        <v>35.43</v>
      </c>
      <c r="T4">
        <v>26090.95</v>
      </c>
      <c r="U4">
        <v>0.39</v>
      </c>
      <c r="V4">
        <v>0.79</v>
      </c>
      <c r="W4">
        <v>3.1</v>
      </c>
      <c r="X4">
        <v>1.68</v>
      </c>
      <c r="Y4">
        <v>1</v>
      </c>
      <c r="Z4">
        <v>10</v>
      </c>
    </row>
    <row r="5" spans="1:26" x14ac:dyDescent="0.3">
      <c r="A5">
        <v>3</v>
      </c>
      <c r="B5">
        <v>80</v>
      </c>
      <c r="C5" t="s">
        <v>26</v>
      </c>
      <c r="D5">
        <v>5.3342000000000001</v>
      </c>
      <c r="E5">
        <v>18.75</v>
      </c>
      <c r="F5">
        <v>14.17</v>
      </c>
      <c r="G5">
        <v>12.14</v>
      </c>
      <c r="H5">
        <v>0.19</v>
      </c>
      <c r="I5">
        <v>70</v>
      </c>
      <c r="J5">
        <v>160.19</v>
      </c>
      <c r="K5">
        <v>50.28</v>
      </c>
      <c r="L5">
        <v>1.75</v>
      </c>
      <c r="M5">
        <v>68</v>
      </c>
      <c r="N5">
        <v>28.16</v>
      </c>
      <c r="O5">
        <v>19990.53</v>
      </c>
      <c r="P5">
        <v>168</v>
      </c>
      <c r="Q5">
        <v>988.31</v>
      </c>
      <c r="R5">
        <v>81.430000000000007</v>
      </c>
      <c r="S5">
        <v>35.43</v>
      </c>
      <c r="T5">
        <v>21675.21</v>
      </c>
      <c r="U5">
        <v>0.44</v>
      </c>
      <c r="V5">
        <v>0.8</v>
      </c>
      <c r="W5">
        <v>3.09</v>
      </c>
      <c r="X5">
        <v>1.41</v>
      </c>
      <c r="Y5">
        <v>1</v>
      </c>
      <c r="Z5">
        <v>10</v>
      </c>
    </row>
    <row r="6" spans="1:26" x14ac:dyDescent="0.3">
      <c r="A6">
        <v>4</v>
      </c>
      <c r="B6">
        <v>80</v>
      </c>
      <c r="C6" t="s">
        <v>26</v>
      </c>
      <c r="D6">
        <v>5.4931999999999999</v>
      </c>
      <c r="E6">
        <v>18.2</v>
      </c>
      <c r="F6">
        <v>13.95</v>
      </c>
      <c r="G6">
        <v>13.95</v>
      </c>
      <c r="H6">
        <v>0.22</v>
      </c>
      <c r="I6">
        <v>60</v>
      </c>
      <c r="J6">
        <v>160.54</v>
      </c>
      <c r="K6">
        <v>50.28</v>
      </c>
      <c r="L6">
        <v>2</v>
      </c>
      <c r="M6">
        <v>58</v>
      </c>
      <c r="N6">
        <v>28.26</v>
      </c>
      <c r="O6">
        <v>20034.400000000001</v>
      </c>
      <c r="P6">
        <v>164.16</v>
      </c>
      <c r="Q6">
        <v>988.41</v>
      </c>
      <c r="R6">
        <v>74.88</v>
      </c>
      <c r="S6">
        <v>35.43</v>
      </c>
      <c r="T6">
        <v>18450.64</v>
      </c>
      <c r="U6">
        <v>0.47</v>
      </c>
      <c r="V6">
        <v>0.82</v>
      </c>
      <c r="W6">
        <v>3.06</v>
      </c>
      <c r="X6">
        <v>1.19</v>
      </c>
      <c r="Y6">
        <v>1</v>
      </c>
      <c r="Z6">
        <v>10</v>
      </c>
    </row>
    <row r="7" spans="1:26" x14ac:dyDescent="0.3">
      <c r="A7">
        <v>5</v>
      </c>
      <c r="B7">
        <v>80</v>
      </c>
      <c r="C7" t="s">
        <v>26</v>
      </c>
      <c r="D7">
        <v>5.6098999999999997</v>
      </c>
      <c r="E7">
        <v>17.829999999999998</v>
      </c>
      <c r="F7">
        <v>13.79</v>
      </c>
      <c r="G7">
        <v>15.62</v>
      </c>
      <c r="H7">
        <v>0.25</v>
      </c>
      <c r="I7">
        <v>53</v>
      </c>
      <c r="J7">
        <v>160.9</v>
      </c>
      <c r="K7">
        <v>50.28</v>
      </c>
      <c r="L7">
        <v>2.25</v>
      </c>
      <c r="M7">
        <v>51</v>
      </c>
      <c r="N7">
        <v>28.37</v>
      </c>
      <c r="O7">
        <v>20078.3</v>
      </c>
      <c r="P7">
        <v>161.13</v>
      </c>
      <c r="Q7">
        <v>988.24</v>
      </c>
      <c r="R7">
        <v>70.319999999999993</v>
      </c>
      <c r="S7">
        <v>35.43</v>
      </c>
      <c r="T7">
        <v>16207.68</v>
      </c>
      <c r="U7">
        <v>0.5</v>
      </c>
      <c r="V7">
        <v>0.83</v>
      </c>
      <c r="W7">
        <v>3.04</v>
      </c>
      <c r="X7">
        <v>1.04</v>
      </c>
      <c r="Y7">
        <v>1</v>
      </c>
      <c r="Z7">
        <v>10</v>
      </c>
    </row>
    <row r="8" spans="1:26" x14ac:dyDescent="0.3">
      <c r="A8">
        <v>6</v>
      </c>
      <c r="B8">
        <v>80</v>
      </c>
      <c r="C8" t="s">
        <v>26</v>
      </c>
      <c r="D8">
        <v>5.7050999999999998</v>
      </c>
      <c r="E8">
        <v>17.53</v>
      </c>
      <c r="F8">
        <v>13.69</v>
      </c>
      <c r="G8">
        <v>17.48</v>
      </c>
      <c r="H8">
        <v>0.27</v>
      </c>
      <c r="I8">
        <v>47</v>
      </c>
      <c r="J8">
        <v>161.26</v>
      </c>
      <c r="K8">
        <v>50.28</v>
      </c>
      <c r="L8">
        <v>2.5</v>
      </c>
      <c r="M8">
        <v>45</v>
      </c>
      <c r="N8">
        <v>28.48</v>
      </c>
      <c r="O8">
        <v>20122.23</v>
      </c>
      <c r="P8">
        <v>158.6</v>
      </c>
      <c r="Q8">
        <v>988.31</v>
      </c>
      <c r="R8">
        <v>66.41</v>
      </c>
      <c r="S8">
        <v>35.43</v>
      </c>
      <c r="T8">
        <v>14281.93</v>
      </c>
      <c r="U8">
        <v>0.53</v>
      </c>
      <c r="V8">
        <v>0.83</v>
      </c>
      <c r="W8">
        <v>3.05</v>
      </c>
      <c r="X8">
        <v>0.93</v>
      </c>
      <c r="Y8">
        <v>1</v>
      </c>
      <c r="Z8">
        <v>10</v>
      </c>
    </row>
    <row r="9" spans="1:26" x14ac:dyDescent="0.3">
      <c r="A9">
        <v>7</v>
      </c>
      <c r="B9">
        <v>80</v>
      </c>
      <c r="C9" t="s">
        <v>26</v>
      </c>
      <c r="D9">
        <v>5.7939999999999996</v>
      </c>
      <c r="E9">
        <v>17.260000000000002</v>
      </c>
      <c r="F9">
        <v>13.58</v>
      </c>
      <c r="G9">
        <v>19.399999999999999</v>
      </c>
      <c r="H9">
        <v>0.3</v>
      </c>
      <c r="I9">
        <v>42</v>
      </c>
      <c r="J9">
        <v>161.61000000000001</v>
      </c>
      <c r="K9">
        <v>50.28</v>
      </c>
      <c r="L9">
        <v>2.75</v>
      </c>
      <c r="M9">
        <v>40</v>
      </c>
      <c r="N9">
        <v>28.58</v>
      </c>
      <c r="O9">
        <v>20166.2</v>
      </c>
      <c r="P9">
        <v>156.12</v>
      </c>
      <c r="Q9">
        <v>988.26</v>
      </c>
      <c r="R9">
        <v>63.26</v>
      </c>
      <c r="S9">
        <v>35.43</v>
      </c>
      <c r="T9">
        <v>12731.96</v>
      </c>
      <c r="U9">
        <v>0.56000000000000005</v>
      </c>
      <c r="V9">
        <v>0.84</v>
      </c>
      <c r="W9">
        <v>3.04</v>
      </c>
      <c r="X9">
        <v>0.83</v>
      </c>
      <c r="Y9">
        <v>1</v>
      </c>
      <c r="Z9">
        <v>10</v>
      </c>
    </row>
    <row r="10" spans="1:26" x14ac:dyDescent="0.3">
      <c r="A10">
        <v>8</v>
      </c>
      <c r="B10">
        <v>80</v>
      </c>
      <c r="C10" t="s">
        <v>26</v>
      </c>
      <c r="D10">
        <v>5.8688000000000002</v>
      </c>
      <c r="E10">
        <v>17.04</v>
      </c>
      <c r="F10">
        <v>13.49</v>
      </c>
      <c r="G10">
        <v>21.3</v>
      </c>
      <c r="H10">
        <v>0.33</v>
      </c>
      <c r="I10">
        <v>38</v>
      </c>
      <c r="J10">
        <v>161.97</v>
      </c>
      <c r="K10">
        <v>50.28</v>
      </c>
      <c r="L10">
        <v>3</v>
      </c>
      <c r="M10">
        <v>36</v>
      </c>
      <c r="N10">
        <v>28.69</v>
      </c>
      <c r="O10">
        <v>20210.21</v>
      </c>
      <c r="P10">
        <v>153.78</v>
      </c>
      <c r="Q10">
        <v>988.3</v>
      </c>
      <c r="R10">
        <v>60.58</v>
      </c>
      <c r="S10">
        <v>35.43</v>
      </c>
      <c r="T10">
        <v>11412.2</v>
      </c>
      <c r="U10">
        <v>0.57999999999999996</v>
      </c>
      <c r="V10">
        <v>0.84</v>
      </c>
      <c r="W10">
        <v>3.03</v>
      </c>
      <c r="X10">
        <v>0.74</v>
      </c>
      <c r="Y10">
        <v>1</v>
      </c>
      <c r="Z10">
        <v>10</v>
      </c>
    </row>
    <row r="11" spans="1:26" x14ac:dyDescent="0.3">
      <c r="A11">
        <v>9</v>
      </c>
      <c r="B11">
        <v>80</v>
      </c>
      <c r="C11" t="s">
        <v>26</v>
      </c>
      <c r="D11">
        <v>5.9229000000000003</v>
      </c>
      <c r="E11">
        <v>16.88</v>
      </c>
      <c r="F11">
        <v>13.43</v>
      </c>
      <c r="G11">
        <v>23.03</v>
      </c>
      <c r="H11">
        <v>0.35</v>
      </c>
      <c r="I11">
        <v>35</v>
      </c>
      <c r="J11">
        <v>162.33000000000001</v>
      </c>
      <c r="K11">
        <v>50.28</v>
      </c>
      <c r="L11">
        <v>3.25</v>
      </c>
      <c r="M11">
        <v>33</v>
      </c>
      <c r="N11">
        <v>28.8</v>
      </c>
      <c r="O11">
        <v>20254.259999999998</v>
      </c>
      <c r="P11">
        <v>151.72</v>
      </c>
      <c r="Q11">
        <v>988.21</v>
      </c>
      <c r="R11">
        <v>58.76</v>
      </c>
      <c r="S11">
        <v>35.43</v>
      </c>
      <c r="T11">
        <v>10517.33</v>
      </c>
      <c r="U11">
        <v>0.6</v>
      </c>
      <c r="V11">
        <v>0.85</v>
      </c>
      <c r="W11">
        <v>3.02</v>
      </c>
      <c r="X11">
        <v>0.68</v>
      </c>
      <c r="Y11">
        <v>1</v>
      </c>
      <c r="Z11">
        <v>10</v>
      </c>
    </row>
    <row r="12" spans="1:26" x14ac:dyDescent="0.3">
      <c r="A12">
        <v>10</v>
      </c>
      <c r="B12">
        <v>80</v>
      </c>
      <c r="C12" t="s">
        <v>26</v>
      </c>
      <c r="D12">
        <v>5.9725000000000001</v>
      </c>
      <c r="E12">
        <v>16.739999999999998</v>
      </c>
      <c r="F12">
        <v>13.39</v>
      </c>
      <c r="G12">
        <v>25.1</v>
      </c>
      <c r="H12">
        <v>0.38</v>
      </c>
      <c r="I12">
        <v>32</v>
      </c>
      <c r="J12">
        <v>162.68</v>
      </c>
      <c r="K12">
        <v>50.28</v>
      </c>
      <c r="L12">
        <v>3.5</v>
      </c>
      <c r="M12">
        <v>30</v>
      </c>
      <c r="N12">
        <v>28.9</v>
      </c>
      <c r="O12">
        <v>20298.34</v>
      </c>
      <c r="P12">
        <v>149.72</v>
      </c>
      <c r="Q12">
        <v>988.11</v>
      </c>
      <c r="R12">
        <v>57.41</v>
      </c>
      <c r="S12">
        <v>35.43</v>
      </c>
      <c r="T12">
        <v>9857.34</v>
      </c>
      <c r="U12">
        <v>0.62</v>
      </c>
      <c r="V12">
        <v>0.85</v>
      </c>
      <c r="W12">
        <v>3.02</v>
      </c>
      <c r="X12">
        <v>0.63</v>
      </c>
      <c r="Y12">
        <v>1</v>
      </c>
      <c r="Z12">
        <v>10</v>
      </c>
    </row>
    <row r="13" spans="1:26" x14ac:dyDescent="0.3">
      <c r="A13">
        <v>11</v>
      </c>
      <c r="B13">
        <v>80</v>
      </c>
      <c r="C13" t="s">
        <v>26</v>
      </c>
      <c r="D13">
        <v>6.0178000000000003</v>
      </c>
      <c r="E13">
        <v>16.62</v>
      </c>
      <c r="F13">
        <v>13.33</v>
      </c>
      <c r="G13">
        <v>26.65</v>
      </c>
      <c r="H13">
        <v>0.41</v>
      </c>
      <c r="I13">
        <v>30</v>
      </c>
      <c r="J13">
        <v>163.04</v>
      </c>
      <c r="K13">
        <v>50.28</v>
      </c>
      <c r="L13">
        <v>3.75</v>
      </c>
      <c r="M13">
        <v>28</v>
      </c>
      <c r="N13">
        <v>29.01</v>
      </c>
      <c r="O13">
        <v>20342.46</v>
      </c>
      <c r="P13">
        <v>147.84</v>
      </c>
      <c r="Q13">
        <v>988.22</v>
      </c>
      <c r="R13">
        <v>55.51</v>
      </c>
      <c r="S13">
        <v>35.43</v>
      </c>
      <c r="T13">
        <v>8914.98</v>
      </c>
      <c r="U13">
        <v>0.64</v>
      </c>
      <c r="V13">
        <v>0.86</v>
      </c>
      <c r="W13">
        <v>3.01</v>
      </c>
      <c r="X13">
        <v>0.56999999999999995</v>
      </c>
      <c r="Y13">
        <v>1</v>
      </c>
      <c r="Z13">
        <v>10</v>
      </c>
    </row>
    <row r="14" spans="1:26" x14ac:dyDescent="0.3">
      <c r="A14">
        <v>12</v>
      </c>
      <c r="B14">
        <v>80</v>
      </c>
      <c r="C14" t="s">
        <v>26</v>
      </c>
      <c r="D14">
        <v>6.0465</v>
      </c>
      <c r="E14">
        <v>16.54</v>
      </c>
      <c r="F14">
        <v>13.31</v>
      </c>
      <c r="G14">
        <v>28.53</v>
      </c>
      <c r="H14">
        <v>0.43</v>
      </c>
      <c r="I14">
        <v>28</v>
      </c>
      <c r="J14">
        <v>163.4</v>
      </c>
      <c r="K14">
        <v>50.28</v>
      </c>
      <c r="L14">
        <v>4</v>
      </c>
      <c r="M14">
        <v>26</v>
      </c>
      <c r="N14">
        <v>29.12</v>
      </c>
      <c r="O14">
        <v>20386.62</v>
      </c>
      <c r="P14">
        <v>146.38999999999999</v>
      </c>
      <c r="Q14">
        <v>988.32</v>
      </c>
      <c r="R14">
        <v>55.2</v>
      </c>
      <c r="S14">
        <v>35.43</v>
      </c>
      <c r="T14">
        <v>8769.5499999999993</v>
      </c>
      <c r="U14">
        <v>0.64</v>
      </c>
      <c r="V14">
        <v>0.86</v>
      </c>
      <c r="W14">
        <v>3.01</v>
      </c>
      <c r="X14">
        <v>0.56000000000000005</v>
      </c>
      <c r="Y14">
        <v>1</v>
      </c>
      <c r="Z14">
        <v>10</v>
      </c>
    </row>
    <row r="15" spans="1:26" x14ac:dyDescent="0.3">
      <c r="A15">
        <v>13</v>
      </c>
      <c r="B15">
        <v>80</v>
      </c>
      <c r="C15" t="s">
        <v>26</v>
      </c>
      <c r="D15">
        <v>6.0902000000000003</v>
      </c>
      <c r="E15">
        <v>16.420000000000002</v>
      </c>
      <c r="F15">
        <v>13.26</v>
      </c>
      <c r="G15">
        <v>30.59</v>
      </c>
      <c r="H15">
        <v>0.46</v>
      </c>
      <c r="I15">
        <v>26</v>
      </c>
      <c r="J15">
        <v>163.76</v>
      </c>
      <c r="K15">
        <v>50.28</v>
      </c>
      <c r="L15">
        <v>4.25</v>
      </c>
      <c r="M15">
        <v>24</v>
      </c>
      <c r="N15">
        <v>29.23</v>
      </c>
      <c r="O15">
        <v>20430.810000000001</v>
      </c>
      <c r="P15">
        <v>144.49</v>
      </c>
      <c r="Q15">
        <v>988.13</v>
      </c>
      <c r="R15">
        <v>53.28</v>
      </c>
      <c r="S15">
        <v>35.43</v>
      </c>
      <c r="T15">
        <v>7822.76</v>
      </c>
      <c r="U15">
        <v>0.67</v>
      </c>
      <c r="V15">
        <v>0.86</v>
      </c>
      <c r="W15">
        <v>3.01</v>
      </c>
      <c r="X15">
        <v>0.5</v>
      </c>
      <c r="Y15">
        <v>1</v>
      </c>
      <c r="Z15">
        <v>10</v>
      </c>
    </row>
    <row r="16" spans="1:26" x14ac:dyDescent="0.3">
      <c r="A16">
        <v>14</v>
      </c>
      <c r="B16">
        <v>80</v>
      </c>
      <c r="C16" t="s">
        <v>26</v>
      </c>
      <c r="D16">
        <v>6.1317000000000004</v>
      </c>
      <c r="E16">
        <v>16.309999999999999</v>
      </c>
      <c r="F16">
        <v>13.21</v>
      </c>
      <c r="G16">
        <v>33.03</v>
      </c>
      <c r="H16">
        <v>0.49</v>
      </c>
      <c r="I16">
        <v>24</v>
      </c>
      <c r="J16">
        <v>164.12</v>
      </c>
      <c r="K16">
        <v>50.28</v>
      </c>
      <c r="L16">
        <v>4.5</v>
      </c>
      <c r="M16">
        <v>22</v>
      </c>
      <c r="N16">
        <v>29.34</v>
      </c>
      <c r="O16">
        <v>20475.04</v>
      </c>
      <c r="P16">
        <v>142.43</v>
      </c>
      <c r="Q16">
        <v>988.15</v>
      </c>
      <c r="R16">
        <v>51.83</v>
      </c>
      <c r="S16">
        <v>35.43</v>
      </c>
      <c r="T16">
        <v>7104.52</v>
      </c>
      <c r="U16">
        <v>0.68</v>
      </c>
      <c r="V16">
        <v>0.86</v>
      </c>
      <c r="W16">
        <v>3.01</v>
      </c>
      <c r="X16">
        <v>0.46</v>
      </c>
      <c r="Y16">
        <v>1</v>
      </c>
      <c r="Z16">
        <v>10</v>
      </c>
    </row>
    <row r="17" spans="1:26" x14ac:dyDescent="0.3">
      <c r="A17">
        <v>15</v>
      </c>
      <c r="B17">
        <v>80</v>
      </c>
      <c r="C17" t="s">
        <v>26</v>
      </c>
      <c r="D17">
        <v>6.1455000000000002</v>
      </c>
      <c r="E17">
        <v>16.27</v>
      </c>
      <c r="F17">
        <v>13.21</v>
      </c>
      <c r="G17">
        <v>34.450000000000003</v>
      </c>
      <c r="H17">
        <v>0.51</v>
      </c>
      <c r="I17">
        <v>23</v>
      </c>
      <c r="J17">
        <v>164.48</v>
      </c>
      <c r="K17">
        <v>50.28</v>
      </c>
      <c r="L17">
        <v>4.75</v>
      </c>
      <c r="M17">
        <v>21</v>
      </c>
      <c r="N17">
        <v>29.45</v>
      </c>
      <c r="O17">
        <v>20519.3</v>
      </c>
      <c r="P17">
        <v>141.03</v>
      </c>
      <c r="Q17">
        <v>988.2</v>
      </c>
      <c r="R17">
        <v>51.61</v>
      </c>
      <c r="S17">
        <v>35.43</v>
      </c>
      <c r="T17">
        <v>7001.29</v>
      </c>
      <c r="U17">
        <v>0.69</v>
      </c>
      <c r="V17">
        <v>0.86</v>
      </c>
      <c r="W17">
        <v>3.01</v>
      </c>
      <c r="X17">
        <v>0.45</v>
      </c>
      <c r="Y17">
        <v>1</v>
      </c>
      <c r="Z17">
        <v>10</v>
      </c>
    </row>
    <row r="18" spans="1:26" x14ac:dyDescent="0.3">
      <c r="A18">
        <v>16</v>
      </c>
      <c r="B18">
        <v>80</v>
      </c>
      <c r="C18" t="s">
        <v>26</v>
      </c>
      <c r="D18">
        <v>6.1891999999999996</v>
      </c>
      <c r="E18">
        <v>16.16</v>
      </c>
      <c r="F18">
        <v>13.16</v>
      </c>
      <c r="G18">
        <v>37.590000000000003</v>
      </c>
      <c r="H18">
        <v>0.54</v>
      </c>
      <c r="I18">
        <v>21</v>
      </c>
      <c r="J18">
        <v>164.83</v>
      </c>
      <c r="K18">
        <v>50.28</v>
      </c>
      <c r="L18">
        <v>5</v>
      </c>
      <c r="M18">
        <v>19</v>
      </c>
      <c r="N18">
        <v>29.55</v>
      </c>
      <c r="O18">
        <v>20563.61</v>
      </c>
      <c r="P18">
        <v>138.96</v>
      </c>
      <c r="Q18">
        <v>988.15</v>
      </c>
      <c r="R18">
        <v>50.44</v>
      </c>
      <c r="S18">
        <v>35.43</v>
      </c>
      <c r="T18">
        <v>6424.61</v>
      </c>
      <c r="U18">
        <v>0.7</v>
      </c>
      <c r="V18">
        <v>0.87</v>
      </c>
      <c r="W18">
        <v>2.99</v>
      </c>
      <c r="X18">
        <v>0.4</v>
      </c>
      <c r="Y18">
        <v>1</v>
      </c>
      <c r="Z18">
        <v>10</v>
      </c>
    </row>
    <row r="19" spans="1:26" x14ac:dyDescent="0.3">
      <c r="A19">
        <v>17</v>
      </c>
      <c r="B19">
        <v>80</v>
      </c>
      <c r="C19" t="s">
        <v>26</v>
      </c>
      <c r="D19">
        <v>6.2140000000000004</v>
      </c>
      <c r="E19">
        <v>16.09</v>
      </c>
      <c r="F19">
        <v>13.12</v>
      </c>
      <c r="G19">
        <v>39.369999999999997</v>
      </c>
      <c r="H19">
        <v>0.56000000000000005</v>
      </c>
      <c r="I19">
        <v>20</v>
      </c>
      <c r="J19">
        <v>165.19</v>
      </c>
      <c r="K19">
        <v>50.28</v>
      </c>
      <c r="L19">
        <v>5.25</v>
      </c>
      <c r="M19">
        <v>18</v>
      </c>
      <c r="N19">
        <v>29.66</v>
      </c>
      <c r="O19">
        <v>20607.95</v>
      </c>
      <c r="P19">
        <v>137.49</v>
      </c>
      <c r="Q19">
        <v>988.21</v>
      </c>
      <c r="R19">
        <v>49.14</v>
      </c>
      <c r="S19">
        <v>35.43</v>
      </c>
      <c r="T19">
        <v>5782.06</v>
      </c>
      <c r="U19">
        <v>0.72</v>
      </c>
      <c r="V19">
        <v>0.87</v>
      </c>
      <c r="W19">
        <v>3</v>
      </c>
      <c r="X19">
        <v>0.37</v>
      </c>
      <c r="Y19">
        <v>1</v>
      </c>
      <c r="Z19">
        <v>10</v>
      </c>
    </row>
    <row r="20" spans="1:26" x14ac:dyDescent="0.3">
      <c r="A20">
        <v>18</v>
      </c>
      <c r="B20">
        <v>80</v>
      </c>
      <c r="C20" t="s">
        <v>26</v>
      </c>
      <c r="D20">
        <v>6.2309000000000001</v>
      </c>
      <c r="E20">
        <v>16.05</v>
      </c>
      <c r="F20">
        <v>13.11</v>
      </c>
      <c r="G20">
        <v>41.41</v>
      </c>
      <c r="H20">
        <v>0.59</v>
      </c>
      <c r="I20">
        <v>19</v>
      </c>
      <c r="J20">
        <v>165.55</v>
      </c>
      <c r="K20">
        <v>50.28</v>
      </c>
      <c r="L20">
        <v>5.5</v>
      </c>
      <c r="M20">
        <v>17</v>
      </c>
      <c r="N20">
        <v>29.77</v>
      </c>
      <c r="O20">
        <v>20652.330000000002</v>
      </c>
      <c r="P20">
        <v>135.61000000000001</v>
      </c>
      <c r="Q20">
        <v>988.12</v>
      </c>
      <c r="R20">
        <v>48.91</v>
      </c>
      <c r="S20">
        <v>35.43</v>
      </c>
      <c r="T20">
        <v>5669.5</v>
      </c>
      <c r="U20">
        <v>0.72</v>
      </c>
      <c r="V20">
        <v>0.87</v>
      </c>
      <c r="W20">
        <v>3</v>
      </c>
      <c r="X20">
        <v>0.36</v>
      </c>
      <c r="Y20">
        <v>1</v>
      </c>
      <c r="Z20">
        <v>10</v>
      </c>
    </row>
    <row r="21" spans="1:26" x14ac:dyDescent="0.3">
      <c r="A21">
        <v>19</v>
      </c>
      <c r="B21">
        <v>80</v>
      </c>
      <c r="C21" t="s">
        <v>26</v>
      </c>
      <c r="D21">
        <v>6.2488000000000001</v>
      </c>
      <c r="E21">
        <v>16</v>
      </c>
      <c r="F21">
        <v>13.1</v>
      </c>
      <c r="G21">
        <v>43.66</v>
      </c>
      <c r="H21">
        <v>0.61</v>
      </c>
      <c r="I21">
        <v>18</v>
      </c>
      <c r="J21">
        <v>165.91</v>
      </c>
      <c r="K21">
        <v>50.28</v>
      </c>
      <c r="L21">
        <v>5.75</v>
      </c>
      <c r="M21">
        <v>16</v>
      </c>
      <c r="N21">
        <v>29.88</v>
      </c>
      <c r="O21">
        <v>20696.740000000002</v>
      </c>
      <c r="P21">
        <v>133.80000000000001</v>
      </c>
      <c r="Q21">
        <v>988.15</v>
      </c>
      <c r="R21">
        <v>48.34</v>
      </c>
      <c r="S21">
        <v>35.43</v>
      </c>
      <c r="T21">
        <v>5389.84</v>
      </c>
      <c r="U21">
        <v>0.73</v>
      </c>
      <c r="V21">
        <v>0.87</v>
      </c>
      <c r="W21">
        <v>3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80</v>
      </c>
      <c r="C22" t="s">
        <v>26</v>
      </c>
      <c r="D22">
        <v>6.2708000000000004</v>
      </c>
      <c r="E22">
        <v>15.95</v>
      </c>
      <c r="F22">
        <v>13.07</v>
      </c>
      <c r="G22">
        <v>46.15</v>
      </c>
      <c r="H22">
        <v>0.64</v>
      </c>
      <c r="I22">
        <v>17</v>
      </c>
      <c r="J22">
        <v>166.27</v>
      </c>
      <c r="K22">
        <v>50.28</v>
      </c>
      <c r="L22">
        <v>6</v>
      </c>
      <c r="M22">
        <v>15</v>
      </c>
      <c r="N22">
        <v>29.99</v>
      </c>
      <c r="O22">
        <v>20741.2</v>
      </c>
      <c r="P22">
        <v>131.1</v>
      </c>
      <c r="Q22">
        <v>988.13</v>
      </c>
      <c r="R22">
        <v>47.78</v>
      </c>
      <c r="S22">
        <v>35.43</v>
      </c>
      <c r="T22">
        <v>5115.49</v>
      </c>
      <c r="U22">
        <v>0.74</v>
      </c>
      <c r="V22">
        <v>0.87</v>
      </c>
      <c r="W22">
        <v>2.99</v>
      </c>
      <c r="X22">
        <v>0.32</v>
      </c>
      <c r="Y22">
        <v>1</v>
      </c>
      <c r="Z22">
        <v>10</v>
      </c>
    </row>
    <row r="23" spans="1:26" x14ac:dyDescent="0.3">
      <c r="A23">
        <v>21</v>
      </c>
      <c r="B23">
        <v>80</v>
      </c>
      <c r="C23" t="s">
        <v>26</v>
      </c>
      <c r="D23">
        <v>6.2927999999999997</v>
      </c>
      <c r="E23">
        <v>15.89</v>
      </c>
      <c r="F23">
        <v>13.05</v>
      </c>
      <c r="G23">
        <v>48.94</v>
      </c>
      <c r="H23">
        <v>0.66</v>
      </c>
      <c r="I23">
        <v>16</v>
      </c>
      <c r="J23">
        <v>166.64</v>
      </c>
      <c r="K23">
        <v>50.28</v>
      </c>
      <c r="L23">
        <v>6.25</v>
      </c>
      <c r="M23">
        <v>14</v>
      </c>
      <c r="N23">
        <v>30.11</v>
      </c>
      <c r="O23">
        <v>20785.689999999999</v>
      </c>
      <c r="P23">
        <v>129.72999999999999</v>
      </c>
      <c r="Q23">
        <v>988.24</v>
      </c>
      <c r="R23">
        <v>46.92</v>
      </c>
      <c r="S23">
        <v>35.43</v>
      </c>
      <c r="T23">
        <v>4690.05</v>
      </c>
      <c r="U23">
        <v>0.76</v>
      </c>
      <c r="V23">
        <v>0.87</v>
      </c>
      <c r="W23">
        <v>2.99</v>
      </c>
      <c r="X23">
        <v>0.3</v>
      </c>
      <c r="Y23">
        <v>1</v>
      </c>
      <c r="Z23">
        <v>10</v>
      </c>
    </row>
    <row r="24" spans="1:26" x14ac:dyDescent="0.3">
      <c r="A24">
        <v>22</v>
      </c>
      <c r="B24">
        <v>80</v>
      </c>
      <c r="C24" t="s">
        <v>26</v>
      </c>
      <c r="D24">
        <v>6.2926000000000002</v>
      </c>
      <c r="E24">
        <v>15.89</v>
      </c>
      <c r="F24">
        <v>13.05</v>
      </c>
      <c r="G24">
        <v>48.94</v>
      </c>
      <c r="H24">
        <v>0.69</v>
      </c>
      <c r="I24">
        <v>16</v>
      </c>
      <c r="J24">
        <v>167</v>
      </c>
      <c r="K24">
        <v>50.28</v>
      </c>
      <c r="L24">
        <v>6.5</v>
      </c>
      <c r="M24">
        <v>14</v>
      </c>
      <c r="N24">
        <v>30.22</v>
      </c>
      <c r="O24">
        <v>20830.22</v>
      </c>
      <c r="P24">
        <v>127.81</v>
      </c>
      <c r="Q24">
        <v>988.14</v>
      </c>
      <c r="R24">
        <v>47.12</v>
      </c>
      <c r="S24">
        <v>35.43</v>
      </c>
      <c r="T24">
        <v>4792.5600000000004</v>
      </c>
      <c r="U24">
        <v>0.75</v>
      </c>
      <c r="V24">
        <v>0.87</v>
      </c>
      <c r="W24">
        <v>2.99</v>
      </c>
      <c r="X24">
        <v>0.3</v>
      </c>
      <c r="Y24">
        <v>1</v>
      </c>
      <c r="Z24">
        <v>10</v>
      </c>
    </row>
    <row r="25" spans="1:26" x14ac:dyDescent="0.3">
      <c r="A25">
        <v>23</v>
      </c>
      <c r="B25">
        <v>80</v>
      </c>
      <c r="C25" t="s">
        <v>26</v>
      </c>
      <c r="D25">
        <v>6.3133999999999997</v>
      </c>
      <c r="E25">
        <v>15.84</v>
      </c>
      <c r="F25">
        <v>13.03</v>
      </c>
      <c r="G25">
        <v>52.13</v>
      </c>
      <c r="H25">
        <v>0.71</v>
      </c>
      <c r="I25">
        <v>15</v>
      </c>
      <c r="J25">
        <v>167.36</v>
      </c>
      <c r="K25">
        <v>50.28</v>
      </c>
      <c r="L25">
        <v>6.75</v>
      </c>
      <c r="M25">
        <v>11</v>
      </c>
      <c r="N25">
        <v>30.33</v>
      </c>
      <c r="O25">
        <v>20874.78</v>
      </c>
      <c r="P25">
        <v>126.62</v>
      </c>
      <c r="Q25">
        <v>988.08</v>
      </c>
      <c r="R25">
        <v>46.39</v>
      </c>
      <c r="S25">
        <v>35.43</v>
      </c>
      <c r="T25">
        <v>4430.1099999999997</v>
      </c>
      <c r="U25">
        <v>0.76</v>
      </c>
      <c r="V25">
        <v>0.87</v>
      </c>
      <c r="W25">
        <v>2.99</v>
      </c>
      <c r="X25">
        <v>0.28000000000000003</v>
      </c>
      <c r="Y25">
        <v>1</v>
      </c>
      <c r="Z25">
        <v>10</v>
      </c>
    </row>
    <row r="26" spans="1:26" x14ac:dyDescent="0.3">
      <c r="A26">
        <v>24</v>
      </c>
      <c r="B26">
        <v>80</v>
      </c>
      <c r="C26" t="s">
        <v>26</v>
      </c>
      <c r="D26">
        <v>6.3257000000000003</v>
      </c>
      <c r="E26">
        <v>15.81</v>
      </c>
      <c r="F26">
        <v>13.03</v>
      </c>
      <c r="G26">
        <v>55.86</v>
      </c>
      <c r="H26">
        <v>0.74</v>
      </c>
      <c r="I26">
        <v>14</v>
      </c>
      <c r="J26">
        <v>167.72</v>
      </c>
      <c r="K26">
        <v>50.28</v>
      </c>
      <c r="L26">
        <v>7</v>
      </c>
      <c r="M26">
        <v>7</v>
      </c>
      <c r="N26">
        <v>30.44</v>
      </c>
      <c r="O26">
        <v>20919.39</v>
      </c>
      <c r="P26">
        <v>125</v>
      </c>
      <c r="Q26">
        <v>988.11</v>
      </c>
      <c r="R26">
        <v>46.1</v>
      </c>
      <c r="S26">
        <v>35.43</v>
      </c>
      <c r="T26">
        <v>4289.46</v>
      </c>
      <c r="U26">
        <v>0.77</v>
      </c>
      <c r="V26">
        <v>0.87</v>
      </c>
      <c r="W26">
        <v>3</v>
      </c>
      <c r="X26">
        <v>0.28000000000000003</v>
      </c>
      <c r="Y26">
        <v>1</v>
      </c>
      <c r="Z26">
        <v>10</v>
      </c>
    </row>
    <row r="27" spans="1:26" x14ac:dyDescent="0.3">
      <c r="A27">
        <v>25</v>
      </c>
      <c r="B27">
        <v>80</v>
      </c>
      <c r="C27" t="s">
        <v>26</v>
      </c>
      <c r="D27">
        <v>6.3277000000000001</v>
      </c>
      <c r="E27">
        <v>15.8</v>
      </c>
      <c r="F27">
        <v>13.03</v>
      </c>
      <c r="G27">
        <v>55.83</v>
      </c>
      <c r="H27">
        <v>0.76</v>
      </c>
      <c r="I27">
        <v>14</v>
      </c>
      <c r="J27">
        <v>168.08</v>
      </c>
      <c r="K27">
        <v>50.28</v>
      </c>
      <c r="L27">
        <v>7.25</v>
      </c>
      <c r="M27">
        <v>4</v>
      </c>
      <c r="N27">
        <v>30.55</v>
      </c>
      <c r="O27">
        <v>20964.03</v>
      </c>
      <c r="P27">
        <v>124.85</v>
      </c>
      <c r="Q27">
        <v>988.18</v>
      </c>
      <c r="R27">
        <v>46.06</v>
      </c>
      <c r="S27">
        <v>35.43</v>
      </c>
      <c r="T27">
        <v>4273.01</v>
      </c>
      <c r="U27">
        <v>0.77</v>
      </c>
      <c r="V27">
        <v>0.87</v>
      </c>
      <c r="W27">
        <v>3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80</v>
      </c>
      <c r="C28" t="s">
        <v>26</v>
      </c>
      <c r="D28">
        <v>6.3281999999999998</v>
      </c>
      <c r="E28">
        <v>15.8</v>
      </c>
      <c r="F28">
        <v>13.03</v>
      </c>
      <c r="G28">
        <v>55.83</v>
      </c>
      <c r="H28">
        <v>0.79</v>
      </c>
      <c r="I28">
        <v>14</v>
      </c>
      <c r="J28">
        <v>168.44</v>
      </c>
      <c r="K28">
        <v>50.28</v>
      </c>
      <c r="L28">
        <v>7.5</v>
      </c>
      <c r="M28">
        <v>1</v>
      </c>
      <c r="N28">
        <v>30.66</v>
      </c>
      <c r="O28">
        <v>21008.71</v>
      </c>
      <c r="P28">
        <v>124.91</v>
      </c>
      <c r="Q28">
        <v>988.12</v>
      </c>
      <c r="R28">
        <v>45.74</v>
      </c>
      <c r="S28">
        <v>35.43</v>
      </c>
      <c r="T28">
        <v>4111.7700000000004</v>
      </c>
      <c r="U28">
        <v>0.77</v>
      </c>
      <c r="V28">
        <v>0.87</v>
      </c>
      <c r="W28">
        <v>3</v>
      </c>
      <c r="X28">
        <v>0.27</v>
      </c>
      <c r="Y28">
        <v>1</v>
      </c>
      <c r="Z28">
        <v>10</v>
      </c>
    </row>
    <row r="29" spans="1:26" x14ac:dyDescent="0.3">
      <c r="A29">
        <v>27</v>
      </c>
      <c r="B29">
        <v>80</v>
      </c>
      <c r="C29" t="s">
        <v>26</v>
      </c>
      <c r="D29">
        <v>6.3284000000000002</v>
      </c>
      <c r="E29">
        <v>15.8</v>
      </c>
      <c r="F29">
        <v>13.03</v>
      </c>
      <c r="G29">
        <v>55.83</v>
      </c>
      <c r="H29">
        <v>0.81</v>
      </c>
      <c r="I29">
        <v>14</v>
      </c>
      <c r="J29">
        <v>168.81</v>
      </c>
      <c r="K29">
        <v>50.28</v>
      </c>
      <c r="L29">
        <v>7.75</v>
      </c>
      <c r="M29">
        <v>1</v>
      </c>
      <c r="N29">
        <v>30.78</v>
      </c>
      <c r="O29">
        <v>21053.43</v>
      </c>
      <c r="P29">
        <v>124.95</v>
      </c>
      <c r="Q29">
        <v>988.12</v>
      </c>
      <c r="R29">
        <v>45.77</v>
      </c>
      <c r="S29">
        <v>35.43</v>
      </c>
      <c r="T29">
        <v>4124.3500000000004</v>
      </c>
      <c r="U29">
        <v>0.77</v>
      </c>
      <c r="V29">
        <v>0.87</v>
      </c>
      <c r="W29">
        <v>3</v>
      </c>
      <c r="X29">
        <v>0.27</v>
      </c>
      <c r="Y29">
        <v>1</v>
      </c>
      <c r="Z29">
        <v>10</v>
      </c>
    </row>
    <row r="30" spans="1:26" x14ac:dyDescent="0.3">
      <c r="A30">
        <v>28</v>
      </c>
      <c r="B30">
        <v>80</v>
      </c>
      <c r="C30" t="s">
        <v>26</v>
      </c>
      <c r="D30">
        <v>6.3277000000000001</v>
      </c>
      <c r="E30">
        <v>15.8</v>
      </c>
      <c r="F30">
        <v>13.03</v>
      </c>
      <c r="G30">
        <v>55.83</v>
      </c>
      <c r="H30">
        <v>0.84</v>
      </c>
      <c r="I30">
        <v>14</v>
      </c>
      <c r="J30">
        <v>169.17</v>
      </c>
      <c r="K30">
        <v>50.28</v>
      </c>
      <c r="L30">
        <v>8</v>
      </c>
      <c r="M30">
        <v>0</v>
      </c>
      <c r="N30">
        <v>30.89</v>
      </c>
      <c r="O30">
        <v>21098.19</v>
      </c>
      <c r="P30">
        <v>125.17</v>
      </c>
      <c r="Q30">
        <v>988.12</v>
      </c>
      <c r="R30">
        <v>45.79</v>
      </c>
      <c r="S30">
        <v>35.43</v>
      </c>
      <c r="T30">
        <v>4135.74</v>
      </c>
      <c r="U30">
        <v>0.77</v>
      </c>
      <c r="V30">
        <v>0.87</v>
      </c>
      <c r="W30">
        <v>3</v>
      </c>
      <c r="X30">
        <v>0.27</v>
      </c>
      <c r="Y30">
        <v>1</v>
      </c>
      <c r="Z30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ilha17"/>
  <dimension ref="A1:Z51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115</v>
      </c>
      <c r="C2" t="s">
        <v>26</v>
      </c>
      <c r="D2">
        <v>3.7021999999999999</v>
      </c>
      <c r="E2">
        <v>27.01</v>
      </c>
      <c r="F2">
        <v>16.45</v>
      </c>
      <c r="G2">
        <v>5.48</v>
      </c>
      <c r="H2">
        <v>0.08</v>
      </c>
      <c r="I2">
        <v>180</v>
      </c>
      <c r="J2">
        <v>222.93</v>
      </c>
      <c r="K2">
        <v>56.94</v>
      </c>
      <c r="L2">
        <v>1</v>
      </c>
      <c r="M2">
        <v>178</v>
      </c>
      <c r="N2">
        <v>49.99</v>
      </c>
      <c r="O2">
        <v>27728.69</v>
      </c>
      <c r="P2">
        <v>249.33</v>
      </c>
      <c r="Q2">
        <v>988.78</v>
      </c>
      <c r="R2">
        <v>152.69999999999999</v>
      </c>
      <c r="S2">
        <v>35.43</v>
      </c>
      <c r="T2">
        <v>56761.5</v>
      </c>
      <c r="U2">
        <v>0.23</v>
      </c>
      <c r="V2">
        <v>0.69</v>
      </c>
      <c r="W2">
        <v>3.26</v>
      </c>
      <c r="X2">
        <v>3.69</v>
      </c>
      <c r="Y2">
        <v>1</v>
      </c>
      <c r="Z2">
        <v>10</v>
      </c>
    </row>
    <row r="3" spans="1:26" x14ac:dyDescent="0.3">
      <c r="A3">
        <v>1</v>
      </c>
      <c r="B3">
        <v>115</v>
      </c>
      <c r="C3" t="s">
        <v>26</v>
      </c>
      <c r="D3">
        <v>4.1551999999999998</v>
      </c>
      <c r="E3">
        <v>24.07</v>
      </c>
      <c r="F3">
        <v>15.48</v>
      </c>
      <c r="G3">
        <v>6.88</v>
      </c>
      <c r="H3">
        <v>0.1</v>
      </c>
      <c r="I3">
        <v>135</v>
      </c>
      <c r="J3">
        <v>223.35</v>
      </c>
      <c r="K3">
        <v>56.94</v>
      </c>
      <c r="L3">
        <v>1.25</v>
      </c>
      <c r="M3">
        <v>133</v>
      </c>
      <c r="N3">
        <v>50.15</v>
      </c>
      <c r="O3">
        <v>27780.03</v>
      </c>
      <c r="P3">
        <v>233.82</v>
      </c>
      <c r="Q3">
        <v>988.47</v>
      </c>
      <c r="R3">
        <v>122.37</v>
      </c>
      <c r="S3">
        <v>35.43</v>
      </c>
      <c r="T3">
        <v>41820.85</v>
      </c>
      <c r="U3">
        <v>0.28999999999999998</v>
      </c>
      <c r="V3">
        <v>0.74</v>
      </c>
      <c r="W3">
        <v>3.19</v>
      </c>
      <c r="X3">
        <v>2.72</v>
      </c>
      <c r="Y3">
        <v>1</v>
      </c>
      <c r="Z3">
        <v>10</v>
      </c>
    </row>
    <row r="4" spans="1:26" x14ac:dyDescent="0.3">
      <c r="A4">
        <v>2</v>
      </c>
      <c r="B4">
        <v>115</v>
      </c>
      <c r="C4" t="s">
        <v>26</v>
      </c>
      <c r="D4">
        <v>4.4611000000000001</v>
      </c>
      <c r="E4">
        <v>22.42</v>
      </c>
      <c r="F4">
        <v>14.97</v>
      </c>
      <c r="G4">
        <v>8.24</v>
      </c>
      <c r="H4">
        <v>0.12</v>
      </c>
      <c r="I4">
        <v>109</v>
      </c>
      <c r="J4">
        <v>223.76</v>
      </c>
      <c r="K4">
        <v>56.94</v>
      </c>
      <c r="L4">
        <v>1.5</v>
      </c>
      <c r="M4">
        <v>107</v>
      </c>
      <c r="N4">
        <v>50.32</v>
      </c>
      <c r="O4">
        <v>27831.42</v>
      </c>
      <c r="P4">
        <v>225.31</v>
      </c>
      <c r="Q4">
        <v>988.58</v>
      </c>
      <c r="R4">
        <v>105.95</v>
      </c>
      <c r="S4">
        <v>35.43</v>
      </c>
      <c r="T4">
        <v>33742.35</v>
      </c>
      <c r="U4">
        <v>0.33</v>
      </c>
      <c r="V4">
        <v>0.76</v>
      </c>
      <c r="W4">
        <v>3.16</v>
      </c>
      <c r="X4">
        <v>2.21</v>
      </c>
      <c r="Y4">
        <v>1</v>
      </c>
      <c r="Z4">
        <v>10</v>
      </c>
    </row>
    <row r="5" spans="1:26" x14ac:dyDescent="0.3">
      <c r="A5">
        <v>3</v>
      </c>
      <c r="B5">
        <v>115</v>
      </c>
      <c r="C5" t="s">
        <v>26</v>
      </c>
      <c r="D5">
        <v>4.7118000000000002</v>
      </c>
      <c r="E5">
        <v>21.22</v>
      </c>
      <c r="F5">
        <v>14.57</v>
      </c>
      <c r="G5">
        <v>9.61</v>
      </c>
      <c r="H5">
        <v>0.14000000000000001</v>
      </c>
      <c r="I5">
        <v>91</v>
      </c>
      <c r="J5">
        <v>224.18</v>
      </c>
      <c r="K5">
        <v>56.94</v>
      </c>
      <c r="L5">
        <v>1.75</v>
      </c>
      <c r="M5">
        <v>89</v>
      </c>
      <c r="N5">
        <v>50.49</v>
      </c>
      <c r="O5">
        <v>27882.87</v>
      </c>
      <c r="P5">
        <v>218.46</v>
      </c>
      <c r="Q5">
        <v>988.4</v>
      </c>
      <c r="R5">
        <v>94.17</v>
      </c>
      <c r="S5">
        <v>35.43</v>
      </c>
      <c r="T5">
        <v>27941.8</v>
      </c>
      <c r="U5">
        <v>0.38</v>
      </c>
      <c r="V5">
        <v>0.78</v>
      </c>
      <c r="W5">
        <v>3.11</v>
      </c>
      <c r="X5">
        <v>1.81</v>
      </c>
      <c r="Y5">
        <v>1</v>
      </c>
      <c r="Z5">
        <v>10</v>
      </c>
    </row>
    <row r="6" spans="1:26" x14ac:dyDescent="0.3">
      <c r="A6">
        <v>4</v>
      </c>
      <c r="B6">
        <v>115</v>
      </c>
      <c r="C6" t="s">
        <v>26</v>
      </c>
      <c r="D6">
        <v>4.9028</v>
      </c>
      <c r="E6">
        <v>20.399999999999999</v>
      </c>
      <c r="F6">
        <v>14.31</v>
      </c>
      <c r="G6">
        <v>11.01</v>
      </c>
      <c r="H6">
        <v>0.16</v>
      </c>
      <c r="I6">
        <v>78</v>
      </c>
      <c r="J6">
        <v>224.6</v>
      </c>
      <c r="K6">
        <v>56.94</v>
      </c>
      <c r="L6">
        <v>2</v>
      </c>
      <c r="M6">
        <v>76</v>
      </c>
      <c r="N6">
        <v>50.65</v>
      </c>
      <c r="O6">
        <v>27934.37</v>
      </c>
      <c r="P6">
        <v>213.73</v>
      </c>
      <c r="Q6">
        <v>988.24</v>
      </c>
      <c r="R6">
        <v>86.02</v>
      </c>
      <c r="S6">
        <v>35.43</v>
      </c>
      <c r="T6">
        <v>23933.43</v>
      </c>
      <c r="U6">
        <v>0.41</v>
      </c>
      <c r="V6">
        <v>0.8</v>
      </c>
      <c r="W6">
        <v>3.1</v>
      </c>
      <c r="X6">
        <v>1.56</v>
      </c>
      <c r="Y6">
        <v>1</v>
      </c>
      <c r="Z6">
        <v>10</v>
      </c>
    </row>
    <row r="7" spans="1:26" x14ac:dyDescent="0.3">
      <c r="A7">
        <v>5</v>
      </c>
      <c r="B7">
        <v>115</v>
      </c>
      <c r="C7" t="s">
        <v>26</v>
      </c>
      <c r="D7">
        <v>5.0597000000000003</v>
      </c>
      <c r="E7">
        <v>19.760000000000002</v>
      </c>
      <c r="F7">
        <v>14.12</v>
      </c>
      <c r="G7">
        <v>12.46</v>
      </c>
      <c r="H7">
        <v>0.18</v>
      </c>
      <c r="I7">
        <v>68</v>
      </c>
      <c r="J7">
        <v>225.01</v>
      </c>
      <c r="K7">
        <v>56.94</v>
      </c>
      <c r="L7">
        <v>2.25</v>
      </c>
      <c r="M7">
        <v>66</v>
      </c>
      <c r="N7">
        <v>50.82</v>
      </c>
      <c r="O7">
        <v>27985.94</v>
      </c>
      <c r="P7">
        <v>210.11</v>
      </c>
      <c r="Q7">
        <v>988.27</v>
      </c>
      <c r="R7">
        <v>80.11</v>
      </c>
      <c r="S7">
        <v>35.43</v>
      </c>
      <c r="T7">
        <v>21027.78</v>
      </c>
      <c r="U7">
        <v>0.44</v>
      </c>
      <c r="V7">
        <v>0.81</v>
      </c>
      <c r="W7">
        <v>3.08</v>
      </c>
      <c r="X7">
        <v>1.36</v>
      </c>
      <c r="Y7">
        <v>1</v>
      </c>
      <c r="Z7">
        <v>10</v>
      </c>
    </row>
    <row r="8" spans="1:26" x14ac:dyDescent="0.3">
      <c r="A8">
        <v>6</v>
      </c>
      <c r="B8">
        <v>115</v>
      </c>
      <c r="C8" t="s">
        <v>26</v>
      </c>
      <c r="D8">
        <v>5.1813000000000002</v>
      </c>
      <c r="E8">
        <v>19.3</v>
      </c>
      <c r="F8">
        <v>13.96</v>
      </c>
      <c r="G8">
        <v>13.73</v>
      </c>
      <c r="H8">
        <v>0.2</v>
      </c>
      <c r="I8">
        <v>61</v>
      </c>
      <c r="J8">
        <v>225.43</v>
      </c>
      <c r="K8">
        <v>56.94</v>
      </c>
      <c r="L8">
        <v>2.5</v>
      </c>
      <c r="M8">
        <v>59</v>
      </c>
      <c r="N8">
        <v>50.99</v>
      </c>
      <c r="O8">
        <v>28037.57</v>
      </c>
      <c r="P8">
        <v>206.85</v>
      </c>
      <c r="Q8">
        <v>988.23</v>
      </c>
      <c r="R8">
        <v>75.239999999999995</v>
      </c>
      <c r="S8">
        <v>35.43</v>
      </c>
      <c r="T8">
        <v>18628.02</v>
      </c>
      <c r="U8">
        <v>0.47</v>
      </c>
      <c r="V8">
        <v>0.82</v>
      </c>
      <c r="W8">
        <v>3.07</v>
      </c>
      <c r="X8">
        <v>1.21</v>
      </c>
      <c r="Y8">
        <v>1</v>
      </c>
      <c r="Z8">
        <v>10</v>
      </c>
    </row>
    <row r="9" spans="1:26" x14ac:dyDescent="0.3">
      <c r="A9">
        <v>7</v>
      </c>
      <c r="B9">
        <v>115</v>
      </c>
      <c r="C9" t="s">
        <v>26</v>
      </c>
      <c r="D9">
        <v>5.3090999999999999</v>
      </c>
      <c r="E9">
        <v>18.84</v>
      </c>
      <c r="F9">
        <v>13.8</v>
      </c>
      <c r="G9">
        <v>15.34</v>
      </c>
      <c r="H9">
        <v>0.22</v>
      </c>
      <c r="I9">
        <v>54</v>
      </c>
      <c r="J9">
        <v>225.85</v>
      </c>
      <c r="K9">
        <v>56.94</v>
      </c>
      <c r="L9">
        <v>2.75</v>
      </c>
      <c r="M9">
        <v>52</v>
      </c>
      <c r="N9">
        <v>51.16</v>
      </c>
      <c r="O9">
        <v>28089.25</v>
      </c>
      <c r="P9">
        <v>203.63</v>
      </c>
      <c r="Q9">
        <v>988.27</v>
      </c>
      <c r="R9">
        <v>70.41</v>
      </c>
      <c r="S9">
        <v>35.43</v>
      </c>
      <c r="T9">
        <v>16247.54</v>
      </c>
      <c r="U9">
        <v>0.5</v>
      </c>
      <c r="V9">
        <v>0.83</v>
      </c>
      <c r="W9">
        <v>3.05</v>
      </c>
      <c r="X9">
        <v>1.05</v>
      </c>
      <c r="Y9">
        <v>1</v>
      </c>
      <c r="Z9">
        <v>10</v>
      </c>
    </row>
    <row r="10" spans="1:26" x14ac:dyDescent="0.3">
      <c r="A10">
        <v>8</v>
      </c>
      <c r="B10">
        <v>115</v>
      </c>
      <c r="C10" t="s">
        <v>26</v>
      </c>
      <c r="D10">
        <v>5.4001999999999999</v>
      </c>
      <c r="E10">
        <v>18.52</v>
      </c>
      <c r="F10">
        <v>13.71</v>
      </c>
      <c r="G10">
        <v>16.78</v>
      </c>
      <c r="H10">
        <v>0.24</v>
      </c>
      <c r="I10">
        <v>49</v>
      </c>
      <c r="J10">
        <v>226.27</v>
      </c>
      <c r="K10">
        <v>56.94</v>
      </c>
      <c r="L10">
        <v>3</v>
      </c>
      <c r="M10">
        <v>47</v>
      </c>
      <c r="N10">
        <v>51.33</v>
      </c>
      <c r="O10">
        <v>28140.99</v>
      </c>
      <c r="P10">
        <v>201.3</v>
      </c>
      <c r="Q10">
        <v>988.12</v>
      </c>
      <c r="R10">
        <v>67.37</v>
      </c>
      <c r="S10">
        <v>35.43</v>
      </c>
      <c r="T10">
        <v>14748.83</v>
      </c>
      <c r="U10">
        <v>0.53</v>
      </c>
      <c r="V10">
        <v>0.83</v>
      </c>
      <c r="W10">
        <v>3.04</v>
      </c>
      <c r="X10">
        <v>0.95</v>
      </c>
      <c r="Y10">
        <v>1</v>
      </c>
      <c r="Z10">
        <v>10</v>
      </c>
    </row>
    <row r="11" spans="1:26" x14ac:dyDescent="0.3">
      <c r="A11">
        <v>9</v>
      </c>
      <c r="B11">
        <v>115</v>
      </c>
      <c r="C11" t="s">
        <v>26</v>
      </c>
      <c r="D11">
        <v>5.4669999999999996</v>
      </c>
      <c r="E11">
        <v>18.29</v>
      </c>
      <c r="F11">
        <v>13.66</v>
      </c>
      <c r="G11">
        <v>18.21</v>
      </c>
      <c r="H11">
        <v>0.25</v>
      </c>
      <c r="I11">
        <v>45</v>
      </c>
      <c r="J11">
        <v>226.69</v>
      </c>
      <c r="K11">
        <v>56.94</v>
      </c>
      <c r="L11">
        <v>3.25</v>
      </c>
      <c r="M11">
        <v>43</v>
      </c>
      <c r="N11">
        <v>51.5</v>
      </c>
      <c r="O11">
        <v>28192.799999999999</v>
      </c>
      <c r="P11">
        <v>199.87</v>
      </c>
      <c r="Q11">
        <v>988.22</v>
      </c>
      <c r="R11">
        <v>65.569999999999993</v>
      </c>
      <c r="S11">
        <v>35.43</v>
      </c>
      <c r="T11">
        <v>13873.26</v>
      </c>
      <c r="U11">
        <v>0.54</v>
      </c>
      <c r="V11">
        <v>0.83</v>
      </c>
      <c r="W11">
        <v>3.04</v>
      </c>
      <c r="X11">
        <v>0.9</v>
      </c>
      <c r="Y11">
        <v>1</v>
      </c>
      <c r="Z11">
        <v>10</v>
      </c>
    </row>
    <row r="12" spans="1:26" x14ac:dyDescent="0.3">
      <c r="A12">
        <v>10</v>
      </c>
      <c r="B12">
        <v>115</v>
      </c>
      <c r="C12" t="s">
        <v>26</v>
      </c>
      <c r="D12">
        <v>5.5303000000000004</v>
      </c>
      <c r="E12">
        <v>18.079999999999998</v>
      </c>
      <c r="F12">
        <v>13.58</v>
      </c>
      <c r="G12">
        <v>19.399999999999999</v>
      </c>
      <c r="H12">
        <v>0.27</v>
      </c>
      <c r="I12">
        <v>42</v>
      </c>
      <c r="J12">
        <v>227.11</v>
      </c>
      <c r="K12">
        <v>56.94</v>
      </c>
      <c r="L12">
        <v>3.5</v>
      </c>
      <c r="M12">
        <v>40</v>
      </c>
      <c r="N12">
        <v>51.67</v>
      </c>
      <c r="O12">
        <v>28244.66</v>
      </c>
      <c r="P12">
        <v>197.95</v>
      </c>
      <c r="Q12">
        <v>988.14</v>
      </c>
      <c r="R12">
        <v>63.34</v>
      </c>
      <c r="S12">
        <v>35.43</v>
      </c>
      <c r="T12">
        <v>12769.98</v>
      </c>
      <c r="U12">
        <v>0.56000000000000005</v>
      </c>
      <c r="V12">
        <v>0.84</v>
      </c>
      <c r="W12">
        <v>3.04</v>
      </c>
      <c r="X12">
        <v>0.82</v>
      </c>
      <c r="Y12">
        <v>1</v>
      </c>
      <c r="Z12">
        <v>10</v>
      </c>
    </row>
    <row r="13" spans="1:26" x14ac:dyDescent="0.3">
      <c r="A13">
        <v>11</v>
      </c>
      <c r="B13">
        <v>115</v>
      </c>
      <c r="C13" t="s">
        <v>26</v>
      </c>
      <c r="D13">
        <v>5.5875000000000004</v>
      </c>
      <c r="E13">
        <v>17.899999999999999</v>
      </c>
      <c r="F13">
        <v>13.52</v>
      </c>
      <c r="G13">
        <v>20.81</v>
      </c>
      <c r="H13">
        <v>0.28999999999999998</v>
      </c>
      <c r="I13">
        <v>39</v>
      </c>
      <c r="J13">
        <v>227.53</v>
      </c>
      <c r="K13">
        <v>56.94</v>
      </c>
      <c r="L13">
        <v>3.75</v>
      </c>
      <c r="M13">
        <v>37</v>
      </c>
      <c r="N13">
        <v>51.84</v>
      </c>
      <c r="O13">
        <v>28296.58</v>
      </c>
      <c r="P13">
        <v>196.49</v>
      </c>
      <c r="Q13">
        <v>988.09</v>
      </c>
      <c r="R13">
        <v>61.65</v>
      </c>
      <c r="S13">
        <v>35.43</v>
      </c>
      <c r="T13">
        <v>11939.16</v>
      </c>
      <c r="U13">
        <v>0.56999999999999995</v>
      </c>
      <c r="V13">
        <v>0.84</v>
      </c>
      <c r="W13">
        <v>3.03</v>
      </c>
      <c r="X13">
        <v>0.77</v>
      </c>
      <c r="Y13">
        <v>1</v>
      </c>
      <c r="Z13">
        <v>10</v>
      </c>
    </row>
    <row r="14" spans="1:26" x14ac:dyDescent="0.3">
      <c r="A14">
        <v>12</v>
      </c>
      <c r="B14">
        <v>115</v>
      </c>
      <c r="C14" t="s">
        <v>26</v>
      </c>
      <c r="D14">
        <v>5.6547999999999998</v>
      </c>
      <c r="E14">
        <v>17.68</v>
      </c>
      <c r="F14">
        <v>13.44</v>
      </c>
      <c r="G14">
        <v>22.41</v>
      </c>
      <c r="H14">
        <v>0.31</v>
      </c>
      <c r="I14">
        <v>36</v>
      </c>
      <c r="J14">
        <v>227.95</v>
      </c>
      <c r="K14">
        <v>56.94</v>
      </c>
      <c r="L14">
        <v>4</v>
      </c>
      <c r="M14">
        <v>34</v>
      </c>
      <c r="N14">
        <v>52.01</v>
      </c>
      <c r="O14">
        <v>28348.560000000001</v>
      </c>
      <c r="P14">
        <v>194.26</v>
      </c>
      <c r="Q14">
        <v>988.23</v>
      </c>
      <c r="R14">
        <v>59.14</v>
      </c>
      <c r="S14">
        <v>35.43</v>
      </c>
      <c r="T14">
        <v>10701.29</v>
      </c>
      <c r="U14">
        <v>0.6</v>
      </c>
      <c r="V14">
        <v>0.85</v>
      </c>
      <c r="W14">
        <v>3.02</v>
      </c>
      <c r="X14">
        <v>0.69</v>
      </c>
      <c r="Y14">
        <v>1</v>
      </c>
      <c r="Z14">
        <v>10</v>
      </c>
    </row>
    <row r="15" spans="1:26" x14ac:dyDescent="0.3">
      <c r="A15">
        <v>13</v>
      </c>
      <c r="B15">
        <v>115</v>
      </c>
      <c r="C15" t="s">
        <v>26</v>
      </c>
      <c r="D15">
        <v>5.6924999999999999</v>
      </c>
      <c r="E15">
        <v>17.57</v>
      </c>
      <c r="F15">
        <v>13.41</v>
      </c>
      <c r="G15">
        <v>23.67</v>
      </c>
      <c r="H15">
        <v>0.33</v>
      </c>
      <c r="I15">
        <v>34</v>
      </c>
      <c r="J15">
        <v>228.38</v>
      </c>
      <c r="K15">
        <v>56.94</v>
      </c>
      <c r="L15">
        <v>4.25</v>
      </c>
      <c r="M15">
        <v>32</v>
      </c>
      <c r="N15">
        <v>52.18</v>
      </c>
      <c r="O15">
        <v>28400.61</v>
      </c>
      <c r="P15">
        <v>193.13</v>
      </c>
      <c r="Q15">
        <v>988.11</v>
      </c>
      <c r="R15">
        <v>58.37</v>
      </c>
      <c r="S15">
        <v>35.43</v>
      </c>
      <c r="T15">
        <v>10327.870000000001</v>
      </c>
      <c r="U15">
        <v>0.61</v>
      </c>
      <c r="V15">
        <v>0.85</v>
      </c>
      <c r="W15">
        <v>3.02</v>
      </c>
      <c r="X15">
        <v>0.66</v>
      </c>
      <c r="Y15">
        <v>1</v>
      </c>
      <c r="Z15">
        <v>10</v>
      </c>
    </row>
    <row r="16" spans="1:26" x14ac:dyDescent="0.3">
      <c r="A16">
        <v>14</v>
      </c>
      <c r="B16">
        <v>115</v>
      </c>
      <c r="C16" t="s">
        <v>26</v>
      </c>
      <c r="D16">
        <v>5.7295999999999996</v>
      </c>
      <c r="E16">
        <v>17.45</v>
      </c>
      <c r="F16">
        <v>13.39</v>
      </c>
      <c r="G16">
        <v>25.1</v>
      </c>
      <c r="H16">
        <v>0.35</v>
      </c>
      <c r="I16">
        <v>32</v>
      </c>
      <c r="J16">
        <v>228.8</v>
      </c>
      <c r="K16">
        <v>56.94</v>
      </c>
      <c r="L16">
        <v>4.5</v>
      </c>
      <c r="M16">
        <v>30</v>
      </c>
      <c r="N16">
        <v>52.36</v>
      </c>
      <c r="O16">
        <v>28452.71</v>
      </c>
      <c r="P16">
        <v>191.75</v>
      </c>
      <c r="Q16">
        <v>988.24</v>
      </c>
      <c r="R16">
        <v>57.53</v>
      </c>
      <c r="S16">
        <v>35.43</v>
      </c>
      <c r="T16">
        <v>9913.7099999999991</v>
      </c>
      <c r="U16">
        <v>0.62</v>
      </c>
      <c r="V16">
        <v>0.85</v>
      </c>
      <c r="W16">
        <v>3.02</v>
      </c>
      <c r="X16">
        <v>0.63</v>
      </c>
      <c r="Y16">
        <v>1</v>
      </c>
      <c r="Z16">
        <v>10</v>
      </c>
    </row>
    <row r="17" spans="1:26" x14ac:dyDescent="0.3">
      <c r="A17">
        <v>15</v>
      </c>
      <c r="B17">
        <v>115</v>
      </c>
      <c r="C17" t="s">
        <v>26</v>
      </c>
      <c r="D17">
        <v>5.7744999999999997</v>
      </c>
      <c r="E17">
        <v>17.32</v>
      </c>
      <c r="F17">
        <v>13.34</v>
      </c>
      <c r="G17">
        <v>26.68</v>
      </c>
      <c r="H17">
        <v>0.37</v>
      </c>
      <c r="I17">
        <v>30</v>
      </c>
      <c r="J17">
        <v>229.22</v>
      </c>
      <c r="K17">
        <v>56.94</v>
      </c>
      <c r="L17">
        <v>4.75</v>
      </c>
      <c r="M17">
        <v>28</v>
      </c>
      <c r="N17">
        <v>52.53</v>
      </c>
      <c r="O17">
        <v>28504.87</v>
      </c>
      <c r="P17">
        <v>190.43</v>
      </c>
      <c r="Q17">
        <v>988.1</v>
      </c>
      <c r="R17">
        <v>55.85</v>
      </c>
      <c r="S17">
        <v>35.43</v>
      </c>
      <c r="T17">
        <v>9087.15</v>
      </c>
      <c r="U17">
        <v>0.63</v>
      </c>
      <c r="V17">
        <v>0.85</v>
      </c>
      <c r="W17">
        <v>3.02</v>
      </c>
      <c r="X17">
        <v>0.59</v>
      </c>
      <c r="Y17">
        <v>1</v>
      </c>
      <c r="Z17">
        <v>10</v>
      </c>
    </row>
    <row r="18" spans="1:26" x14ac:dyDescent="0.3">
      <c r="A18">
        <v>16</v>
      </c>
      <c r="B18">
        <v>115</v>
      </c>
      <c r="C18" t="s">
        <v>26</v>
      </c>
      <c r="D18">
        <v>5.8162000000000003</v>
      </c>
      <c r="E18">
        <v>17.190000000000001</v>
      </c>
      <c r="F18">
        <v>13.3</v>
      </c>
      <c r="G18">
        <v>28.51</v>
      </c>
      <c r="H18">
        <v>0.39</v>
      </c>
      <c r="I18">
        <v>28</v>
      </c>
      <c r="J18">
        <v>229.65</v>
      </c>
      <c r="K18">
        <v>56.94</v>
      </c>
      <c r="L18">
        <v>5</v>
      </c>
      <c r="M18">
        <v>26</v>
      </c>
      <c r="N18">
        <v>52.7</v>
      </c>
      <c r="O18">
        <v>28557.1</v>
      </c>
      <c r="P18">
        <v>188.6</v>
      </c>
      <c r="Q18">
        <v>988.13</v>
      </c>
      <c r="R18">
        <v>54.68</v>
      </c>
      <c r="S18">
        <v>35.43</v>
      </c>
      <c r="T18">
        <v>8511.9599999999991</v>
      </c>
      <c r="U18">
        <v>0.65</v>
      </c>
      <c r="V18">
        <v>0.86</v>
      </c>
      <c r="W18">
        <v>3.02</v>
      </c>
      <c r="X18">
        <v>0.55000000000000004</v>
      </c>
      <c r="Y18">
        <v>1</v>
      </c>
      <c r="Z18">
        <v>10</v>
      </c>
    </row>
    <row r="19" spans="1:26" x14ac:dyDescent="0.3">
      <c r="A19">
        <v>17</v>
      </c>
      <c r="B19">
        <v>115</v>
      </c>
      <c r="C19" t="s">
        <v>26</v>
      </c>
      <c r="D19">
        <v>5.8423999999999996</v>
      </c>
      <c r="E19">
        <v>17.12</v>
      </c>
      <c r="F19">
        <v>13.27</v>
      </c>
      <c r="G19">
        <v>29.49</v>
      </c>
      <c r="H19">
        <v>0.41</v>
      </c>
      <c r="I19">
        <v>27</v>
      </c>
      <c r="J19">
        <v>230.07</v>
      </c>
      <c r="K19">
        <v>56.94</v>
      </c>
      <c r="L19">
        <v>5.25</v>
      </c>
      <c r="M19">
        <v>25</v>
      </c>
      <c r="N19">
        <v>52.88</v>
      </c>
      <c r="O19">
        <v>28609.38</v>
      </c>
      <c r="P19">
        <v>187.53</v>
      </c>
      <c r="Q19">
        <v>988.13</v>
      </c>
      <c r="R19">
        <v>53.83</v>
      </c>
      <c r="S19">
        <v>35.43</v>
      </c>
      <c r="T19">
        <v>8090.74</v>
      </c>
      <c r="U19">
        <v>0.66</v>
      </c>
      <c r="V19">
        <v>0.86</v>
      </c>
      <c r="W19">
        <v>3.01</v>
      </c>
      <c r="X19">
        <v>0.52</v>
      </c>
      <c r="Y19">
        <v>1</v>
      </c>
      <c r="Z19">
        <v>10</v>
      </c>
    </row>
    <row r="20" spans="1:26" x14ac:dyDescent="0.3">
      <c r="A20">
        <v>18</v>
      </c>
      <c r="B20">
        <v>115</v>
      </c>
      <c r="C20" t="s">
        <v>26</v>
      </c>
      <c r="D20">
        <v>5.8627000000000002</v>
      </c>
      <c r="E20">
        <v>17.059999999999999</v>
      </c>
      <c r="F20">
        <v>13.26</v>
      </c>
      <c r="G20">
        <v>30.59</v>
      </c>
      <c r="H20">
        <v>0.42</v>
      </c>
      <c r="I20">
        <v>26</v>
      </c>
      <c r="J20">
        <v>230.49</v>
      </c>
      <c r="K20">
        <v>56.94</v>
      </c>
      <c r="L20">
        <v>5.5</v>
      </c>
      <c r="M20">
        <v>24</v>
      </c>
      <c r="N20">
        <v>53.05</v>
      </c>
      <c r="O20">
        <v>28661.73</v>
      </c>
      <c r="P20">
        <v>186.67</v>
      </c>
      <c r="Q20">
        <v>988.11</v>
      </c>
      <c r="R20">
        <v>53.38</v>
      </c>
      <c r="S20">
        <v>35.43</v>
      </c>
      <c r="T20">
        <v>7869.38</v>
      </c>
      <c r="U20">
        <v>0.66</v>
      </c>
      <c r="V20">
        <v>0.86</v>
      </c>
      <c r="W20">
        <v>3</v>
      </c>
      <c r="X20">
        <v>0.5</v>
      </c>
      <c r="Y20">
        <v>1</v>
      </c>
      <c r="Z20">
        <v>10</v>
      </c>
    </row>
    <row r="21" spans="1:26" x14ac:dyDescent="0.3">
      <c r="A21">
        <v>19</v>
      </c>
      <c r="B21">
        <v>115</v>
      </c>
      <c r="C21" t="s">
        <v>26</v>
      </c>
      <c r="D21">
        <v>5.9092000000000002</v>
      </c>
      <c r="E21">
        <v>16.920000000000002</v>
      </c>
      <c r="F21">
        <v>13.21</v>
      </c>
      <c r="G21">
        <v>33.020000000000003</v>
      </c>
      <c r="H21">
        <v>0.44</v>
      </c>
      <c r="I21">
        <v>24</v>
      </c>
      <c r="J21">
        <v>230.92</v>
      </c>
      <c r="K21">
        <v>56.94</v>
      </c>
      <c r="L21">
        <v>5.75</v>
      </c>
      <c r="M21">
        <v>22</v>
      </c>
      <c r="N21">
        <v>53.23</v>
      </c>
      <c r="O21">
        <v>28714.14</v>
      </c>
      <c r="P21">
        <v>184.83</v>
      </c>
      <c r="Q21">
        <v>988.21</v>
      </c>
      <c r="R21">
        <v>51.9</v>
      </c>
      <c r="S21">
        <v>35.43</v>
      </c>
      <c r="T21">
        <v>7141.91</v>
      </c>
      <c r="U21">
        <v>0.68</v>
      </c>
      <c r="V21">
        <v>0.86</v>
      </c>
      <c r="W21">
        <v>3</v>
      </c>
      <c r="X21">
        <v>0.45</v>
      </c>
      <c r="Y21">
        <v>1</v>
      </c>
      <c r="Z21">
        <v>10</v>
      </c>
    </row>
    <row r="22" spans="1:26" x14ac:dyDescent="0.3">
      <c r="A22">
        <v>20</v>
      </c>
      <c r="B22">
        <v>115</v>
      </c>
      <c r="C22" t="s">
        <v>26</v>
      </c>
      <c r="D22">
        <v>5.9279999999999999</v>
      </c>
      <c r="E22">
        <v>16.87</v>
      </c>
      <c r="F22">
        <v>13.2</v>
      </c>
      <c r="G22">
        <v>34.43</v>
      </c>
      <c r="H22">
        <v>0.46</v>
      </c>
      <c r="I22">
        <v>23</v>
      </c>
      <c r="J22">
        <v>231.34</v>
      </c>
      <c r="K22">
        <v>56.94</v>
      </c>
      <c r="L22">
        <v>6</v>
      </c>
      <c r="M22">
        <v>21</v>
      </c>
      <c r="N22">
        <v>53.4</v>
      </c>
      <c r="O22">
        <v>28766.61</v>
      </c>
      <c r="P22">
        <v>184</v>
      </c>
      <c r="Q22">
        <v>988.1</v>
      </c>
      <c r="R22">
        <v>51.61</v>
      </c>
      <c r="S22">
        <v>35.43</v>
      </c>
      <c r="T22">
        <v>6998.96</v>
      </c>
      <c r="U22">
        <v>0.69</v>
      </c>
      <c r="V22">
        <v>0.86</v>
      </c>
      <c r="W22">
        <v>3</v>
      </c>
      <c r="X22">
        <v>0.45</v>
      </c>
      <c r="Y22">
        <v>1</v>
      </c>
      <c r="Z22">
        <v>10</v>
      </c>
    </row>
    <row r="23" spans="1:26" x14ac:dyDescent="0.3">
      <c r="A23">
        <v>21</v>
      </c>
      <c r="B23">
        <v>115</v>
      </c>
      <c r="C23" t="s">
        <v>26</v>
      </c>
      <c r="D23">
        <v>5.9542999999999999</v>
      </c>
      <c r="E23">
        <v>16.79</v>
      </c>
      <c r="F23">
        <v>13.17</v>
      </c>
      <c r="G23">
        <v>35.909999999999997</v>
      </c>
      <c r="H23">
        <v>0.48</v>
      </c>
      <c r="I23">
        <v>22</v>
      </c>
      <c r="J23">
        <v>231.77</v>
      </c>
      <c r="K23">
        <v>56.94</v>
      </c>
      <c r="L23">
        <v>6.25</v>
      </c>
      <c r="M23">
        <v>20</v>
      </c>
      <c r="N23">
        <v>53.58</v>
      </c>
      <c r="O23">
        <v>28819.14</v>
      </c>
      <c r="P23">
        <v>182.86</v>
      </c>
      <c r="Q23">
        <v>988.11</v>
      </c>
      <c r="R23">
        <v>50.57</v>
      </c>
      <c r="S23">
        <v>35.43</v>
      </c>
      <c r="T23">
        <v>6486.99</v>
      </c>
      <c r="U23">
        <v>0.7</v>
      </c>
      <c r="V23">
        <v>0.87</v>
      </c>
      <c r="W23">
        <v>3</v>
      </c>
      <c r="X23">
        <v>0.41</v>
      </c>
      <c r="Y23">
        <v>1</v>
      </c>
      <c r="Z23">
        <v>10</v>
      </c>
    </row>
    <row r="24" spans="1:26" x14ac:dyDescent="0.3">
      <c r="A24">
        <v>22</v>
      </c>
      <c r="B24">
        <v>115</v>
      </c>
      <c r="C24" t="s">
        <v>26</v>
      </c>
      <c r="D24">
        <v>5.9734999999999996</v>
      </c>
      <c r="E24">
        <v>16.739999999999998</v>
      </c>
      <c r="F24">
        <v>13.16</v>
      </c>
      <c r="G24">
        <v>37.590000000000003</v>
      </c>
      <c r="H24">
        <v>0.5</v>
      </c>
      <c r="I24">
        <v>21</v>
      </c>
      <c r="J24">
        <v>232.2</v>
      </c>
      <c r="K24">
        <v>56.94</v>
      </c>
      <c r="L24">
        <v>6.5</v>
      </c>
      <c r="M24">
        <v>19</v>
      </c>
      <c r="N24">
        <v>53.75</v>
      </c>
      <c r="O24">
        <v>28871.74</v>
      </c>
      <c r="P24">
        <v>181.69</v>
      </c>
      <c r="Q24">
        <v>988.09</v>
      </c>
      <c r="R24">
        <v>50.21</v>
      </c>
      <c r="S24">
        <v>35.43</v>
      </c>
      <c r="T24">
        <v>6309</v>
      </c>
      <c r="U24">
        <v>0.71</v>
      </c>
      <c r="V24">
        <v>0.87</v>
      </c>
      <c r="W24">
        <v>3</v>
      </c>
      <c r="X24">
        <v>0.4</v>
      </c>
      <c r="Y24">
        <v>1</v>
      </c>
      <c r="Z24">
        <v>10</v>
      </c>
    </row>
    <row r="25" spans="1:26" x14ac:dyDescent="0.3">
      <c r="A25">
        <v>23</v>
      </c>
      <c r="B25">
        <v>115</v>
      </c>
      <c r="C25" t="s">
        <v>26</v>
      </c>
      <c r="D25">
        <v>5.9749999999999996</v>
      </c>
      <c r="E25">
        <v>16.739999999999998</v>
      </c>
      <c r="F25">
        <v>13.15</v>
      </c>
      <c r="G25">
        <v>37.58</v>
      </c>
      <c r="H25">
        <v>0.52</v>
      </c>
      <c r="I25">
        <v>21</v>
      </c>
      <c r="J25">
        <v>232.62</v>
      </c>
      <c r="K25">
        <v>56.94</v>
      </c>
      <c r="L25">
        <v>6.75</v>
      </c>
      <c r="M25">
        <v>19</v>
      </c>
      <c r="N25">
        <v>53.93</v>
      </c>
      <c r="O25">
        <v>28924.39</v>
      </c>
      <c r="P25">
        <v>180.62</v>
      </c>
      <c r="Q25">
        <v>988.08</v>
      </c>
      <c r="R25">
        <v>50.07</v>
      </c>
      <c r="S25">
        <v>35.43</v>
      </c>
      <c r="T25">
        <v>6242.53</v>
      </c>
      <c r="U25">
        <v>0.71</v>
      </c>
      <c r="V25">
        <v>0.87</v>
      </c>
      <c r="W25">
        <v>3</v>
      </c>
      <c r="X25">
        <v>0.4</v>
      </c>
      <c r="Y25">
        <v>1</v>
      </c>
      <c r="Z25">
        <v>10</v>
      </c>
    </row>
    <row r="26" spans="1:26" x14ac:dyDescent="0.3">
      <c r="A26">
        <v>24</v>
      </c>
      <c r="B26">
        <v>115</v>
      </c>
      <c r="C26" t="s">
        <v>26</v>
      </c>
      <c r="D26">
        <v>6.0026000000000002</v>
      </c>
      <c r="E26">
        <v>16.66</v>
      </c>
      <c r="F26">
        <v>13.12</v>
      </c>
      <c r="G26">
        <v>39.36</v>
      </c>
      <c r="H26">
        <v>0.53</v>
      </c>
      <c r="I26">
        <v>20</v>
      </c>
      <c r="J26">
        <v>233.05</v>
      </c>
      <c r="K26">
        <v>56.94</v>
      </c>
      <c r="L26">
        <v>7</v>
      </c>
      <c r="M26">
        <v>18</v>
      </c>
      <c r="N26">
        <v>54.11</v>
      </c>
      <c r="O26">
        <v>28977.11</v>
      </c>
      <c r="P26">
        <v>179.64</v>
      </c>
      <c r="Q26">
        <v>988.2</v>
      </c>
      <c r="R26">
        <v>48.98</v>
      </c>
      <c r="S26">
        <v>35.43</v>
      </c>
      <c r="T26">
        <v>5702.32</v>
      </c>
      <c r="U26">
        <v>0.72</v>
      </c>
      <c r="V26">
        <v>0.87</v>
      </c>
      <c r="W26">
        <v>3</v>
      </c>
      <c r="X26">
        <v>0.37</v>
      </c>
      <c r="Y26">
        <v>1</v>
      </c>
      <c r="Z26">
        <v>10</v>
      </c>
    </row>
    <row r="27" spans="1:26" x14ac:dyDescent="0.3">
      <c r="A27">
        <v>25</v>
      </c>
      <c r="B27">
        <v>115</v>
      </c>
      <c r="C27" t="s">
        <v>26</v>
      </c>
      <c r="D27">
        <v>6.0213999999999999</v>
      </c>
      <c r="E27">
        <v>16.61</v>
      </c>
      <c r="F27">
        <v>13.11</v>
      </c>
      <c r="G27">
        <v>41.41</v>
      </c>
      <c r="H27">
        <v>0.55000000000000004</v>
      </c>
      <c r="I27">
        <v>19</v>
      </c>
      <c r="J27">
        <v>233.48</v>
      </c>
      <c r="K27">
        <v>56.94</v>
      </c>
      <c r="L27">
        <v>7.25</v>
      </c>
      <c r="M27">
        <v>17</v>
      </c>
      <c r="N27">
        <v>54.29</v>
      </c>
      <c r="O27">
        <v>29029.89</v>
      </c>
      <c r="P27">
        <v>178.58</v>
      </c>
      <c r="Q27">
        <v>988.17</v>
      </c>
      <c r="R27">
        <v>48.81</v>
      </c>
      <c r="S27">
        <v>35.43</v>
      </c>
      <c r="T27">
        <v>5621.75</v>
      </c>
      <c r="U27">
        <v>0.73</v>
      </c>
      <c r="V27">
        <v>0.87</v>
      </c>
      <c r="W27">
        <v>3</v>
      </c>
      <c r="X27">
        <v>0.36</v>
      </c>
      <c r="Y27">
        <v>1</v>
      </c>
      <c r="Z27">
        <v>10</v>
      </c>
    </row>
    <row r="28" spans="1:26" x14ac:dyDescent="0.3">
      <c r="A28">
        <v>26</v>
      </c>
      <c r="B28">
        <v>115</v>
      </c>
      <c r="C28" t="s">
        <v>26</v>
      </c>
      <c r="D28">
        <v>6.0427999999999997</v>
      </c>
      <c r="E28">
        <v>16.55</v>
      </c>
      <c r="F28">
        <v>13.1</v>
      </c>
      <c r="G28">
        <v>43.66</v>
      </c>
      <c r="H28">
        <v>0.56999999999999995</v>
      </c>
      <c r="I28">
        <v>18</v>
      </c>
      <c r="J28">
        <v>233.91</v>
      </c>
      <c r="K28">
        <v>56.94</v>
      </c>
      <c r="L28">
        <v>7.5</v>
      </c>
      <c r="M28">
        <v>16</v>
      </c>
      <c r="N28">
        <v>54.46</v>
      </c>
      <c r="O28">
        <v>29082.74</v>
      </c>
      <c r="P28">
        <v>177.42</v>
      </c>
      <c r="Q28">
        <v>988.15</v>
      </c>
      <c r="R28">
        <v>48.36</v>
      </c>
      <c r="S28">
        <v>35.43</v>
      </c>
      <c r="T28">
        <v>5403</v>
      </c>
      <c r="U28">
        <v>0.73</v>
      </c>
      <c r="V28">
        <v>0.87</v>
      </c>
      <c r="W28">
        <v>2.99</v>
      </c>
      <c r="X28">
        <v>0.34</v>
      </c>
      <c r="Y28">
        <v>1</v>
      </c>
      <c r="Z28">
        <v>10</v>
      </c>
    </row>
    <row r="29" spans="1:26" x14ac:dyDescent="0.3">
      <c r="A29">
        <v>27</v>
      </c>
      <c r="B29">
        <v>115</v>
      </c>
      <c r="C29" t="s">
        <v>26</v>
      </c>
      <c r="D29">
        <v>6.0437000000000003</v>
      </c>
      <c r="E29">
        <v>16.55</v>
      </c>
      <c r="F29">
        <v>13.1</v>
      </c>
      <c r="G29">
        <v>43.65</v>
      </c>
      <c r="H29">
        <v>0.59</v>
      </c>
      <c r="I29">
        <v>18</v>
      </c>
      <c r="J29">
        <v>234.34</v>
      </c>
      <c r="K29">
        <v>56.94</v>
      </c>
      <c r="L29">
        <v>7.75</v>
      </c>
      <c r="M29">
        <v>16</v>
      </c>
      <c r="N29">
        <v>54.64</v>
      </c>
      <c r="O29">
        <v>29135.65</v>
      </c>
      <c r="P29">
        <v>176.2</v>
      </c>
      <c r="Q29">
        <v>988.11</v>
      </c>
      <c r="R29">
        <v>48.38</v>
      </c>
      <c r="S29">
        <v>35.43</v>
      </c>
      <c r="T29">
        <v>5409.24</v>
      </c>
      <c r="U29">
        <v>0.73</v>
      </c>
      <c r="V29">
        <v>0.87</v>
      </c>
      <c r="W29">
        <v>2.99</v>
      </c>
      <c r="X29">
        <v>0.34</v>
      </c>
      <c r="Y29">
        <v>1</v>
      </c>
      <c r="Z29">
        <v>10</v>
      </c>
    </row>
    <row r="30" spans="1:26" x14ac:dyDescent="0.3">
      <c r="A30">
        <v>28</v>
      </c>
      <c r="B30">
        <v>115</v>
      </c>
      <c r="C30" t="s">
        <v>26</v>
      </c>
      <c r="D30">
        <v>6.0708000000000002</v>
      </c>
      <c r="E30">
        <v>16.47</v>
      </c>
      <c r="F30">
        <v>13.07</v>
      </c>
      <c r="G30">
        <v>46.11</v>
      </c>
      <c r="H30">
        <v>0.61</v>
      </c>
      <c r="I30">
        <v>17</v>
      </c>
      <c r="J30">
        <v>234.77</v>
      </c>
      <c r="K30">
        <v>56.94</v>
      </c>
      <c r="L30">
        <v>8</v>
      </c>
      <c r="M30">
        <v>15</v>
      </c>
      <c r="N30">
        <v>54.82</v>
      </c>
      <c r="O30">
        <v>29188.62</v>
      </c>
      <c r="P30">
        <v>174.63</v>
      </c>
      <c r="Q30">
        <v>988.17</v>
      </c>
      <c r="R30">
        <v>47.64</v>
      </c>
      <c r="S30">
        <v>35.43</v>
      </c>
      <c r="T30">
        <v>5044.25</v>
      </c>
      <c r="U30">
        <v>0.74</v>
      </c>
      <c r="V30">
        <v>0.87</v>
      </c>
      <c r="W30">
        <v>2.99</v>
      </c>
      <c r="X30">
        <v>0.31</v>
      </c>
      <c r="Y30">
        <v>1</v>
      </c>
      <c r="Z30">
        <v>10</v>
      </c>
    </row>
    <row r="31" spans="1:26" x14ac:dyDescent="0.3">
      <c r="A31">
        <v>29</v>
      </c>
      <c r="B31">
        <v>115</v>
      </c>
      <c r="C31" t="s">
        <v>26</v>
      </c>
      <c r="D31">
        <v>6.0669000000000004</v>
      </c>
      <c r="E31">
        <v>16.48</v>
      </c>
      <c r="F31">
        <v>13.08</v>
      </c>
      <c r="G31">
        <v>46.15</v>
      </c>
      <c r="H31">
        <v>0.62</v>
      </c>
      <c r="I31">
        <v>17</v>
      </c>
      <c r="J31">
        <v>235.2</v>
      </c>
      <c r="K31">
        <v>56.94</v>
      </c>
      <c r="L31">
        <v>8.25</v>
      </c>
      <c r="M31">
        <v>15</v>
      </c>
      <c r="N31">
        <v>55</v>
      </c>
      <c r="O31">
        <v>29241.66</v>
      </c>
      <c r="P31">
        <v>173.63</v>
      </c>
      <c r="Q31">
        <v>988.08</v>
      </c>
      <c r="R31">
        <v>47.62</v>
      </c>
      <c r="S31">
        <v>35.43</v>
      </c>
      <c r="T31">
        <v>5036.95</v>
      </c>
      <c r="U31">
        <v>0.74</v>
      </c>
      <c r="V31">
        <v>0.87</v>
      </c>
      <c r="W31">
        <v>3</v>
      </c>
      <c r="X31">
        <v>0.32</v>
      </c>
      <c r="Y31">
        <v>1</v>
      </c>
      <c r="Z31">
        <v>10</v>
      </c>
    </row>
    <row r="32" spans="1:26" x14ac:dyDescent="0.3">
      <c r="A32">
        <v>30</v>
      </c>
      <c r="B32">
        <v>115</v>
      </c>
      <c r="C32" t="s">
        <v>26</v>
      </c>
      <c r="D32">
        <v>6.0925000000000002</v>
      </c>
      <c r="E32">
        <v>16.41</v>
      </c>
      <c r="F32">
        <v>13.05</v>
      </c>
      <c r="G32">
        <v>48.94</v>
      </c>
      <c r="H32">
        <v>0.64</v>
      </c>
      <c r="I32">
        <v>16</v>
      </c>
      <c r="J32">
        <v>235.63</v>
      </c>
      <c r="K32">
        <v>56.94</v>
      </c>
      <c r="L32">
        <v>8.5</v>
      </c>
      <c r="M32">
        <v>14</v>
      </c>
      <c r="N32">
        <v>55.18</v>
      </c>
      <c r="O32">
        <v>29294.76</v>
      </c>
      <c r="P32">
        <v>172.89</v>
      </c>
      <c r="Q32">
        <v>988.12</v>
      </c>
      <c r="R32">
        <v>47</v>
      </c>
      <c r="S32">
        <v>35.43</v>
      </c>
      <c r="T32">
        <v>4733.25</v>
      </c>
      <c r="U32">
        <v>0.75</v>
      </c>
      <c r="V32">
        <v>0.87</v>
      </c>
      <c r="W32">
        <v>2.99</v>
      </c>
      <c r="X32">
        <v>0.3</v>
      </c>
      <c r="Y32">
        <v>1</v>
      </c>
      <c r="Z32">
        <v>10</v>
      </c>
    </row>
    <row r="33" spans="1:26" x14ac:dyDescent="0.3">
      <c r="A33">
        <v>31</v>
      </c>
      <c r="B33">
        <v>115</v>
      </c>
      <c r="C33" t="s">
        <v>26</v>
      </c>
      <c r="D33">
        <v>6.1158000000000001</v>
      </c>
      <c r="E33">
        <v>16.350000000000001</v>
      </c>
      <c r="F33">
        <v>13.03</v>
      </c>
      <c r="G33">
        <v>52.13</v>
      </c>
      <c r="H33">
        <v>0.66</v>
      </c>
      <c r="I33">
        <v>15</v>
      </c>
      <c r="J33">
        <v>236.06</v>
      </c>
      <c r="K33">
        <v>56.94</v>
      </c>
      <c r="L33">
        <v>8.75</v>
      </c>
      <c r="M33">
        <v>13</v>
      </c>
      <c r="N33">
        <v>55.36</v>
      </c>
      <c r="O33">
        <v>29347.919999999998</v>
      </c>
      <c r="P33">
        <v>171</v>
      </c>
      <c r="Q33">
        <v>988.08</v>
      </c>
      <c r="R33">
        <v>46.61</v>
      </c>
      <c r="S33">
        <v>35.43</v>
      </c>
      <c r="T33">
        <v>4540.49</v>
      </c>
      <c r="U33">
        <v>0.76</v>
      </c>
      <c r="V33">
        <v>0.87</v>
      </c>
      <c r="W33">
        <v>2.98</v>
      </c>
      <c r="X33">
        <v>0.28000000000000003</v>
      </c>
      <c r="Y33">
        <v>1</v>
      </c>
      <c r="Z33">
        <v>10</v>
      </c>
    </row>
    <row r="34" spans="1:26" x14ac:dyDescent="0.3">
      <c r="A34">
        <v>32</v>
      </c>
      <c r="B34">
        <v>115</v>
      </c>
      <c r="C34" t="s">
        <v>26</v>
      </c>
      <c r="D34">
        <v>6.1125999999999996</v>
      </c>
      <c r="E34">
        <v>16.36</v>
      </c>
      <c r="F34">
        <v>13.04</v>
      </c>
      <c r="G34">
        <v>52.16</v>
      </c>
      <c r="H34">
        <v>0.68</v>
      </c>
      <c r="I34">
        <v>15</v>
      </c>
      <c r="J34">
        <v>236.49</v>
      </c>
      <c r="K34">
        <v>56.94</v>
      </c>
      <c r="L34">
        <v>9</v>
      </c>
      <c r="M34">
        <v>13</v>
      </c>
      <c r="N34">
        <v>55.55</v>
      </c>
      <c r="O34">
        <v>29401.15</v>
      </c>
      <c r="P34">
        <v>170.71</v>
      </c>
      <c r="Q34">
        <v>988.18</v>
      </c>
      <c r="R34">
        <v>46.53</v>
      </c>
      <c r="S34">
        <v>35.43</v>
      </c>
      <c r="T34">
        <v>4503.22</v>
      </c>
      <c r="U34">
        <v>0.76</v>
      </c>
      <c r="V34">
        <v>0.87</v>
      </c>
      <c r="W34">
        <v>2.99</v>
      </c>
      <c r="X34">
        <v>0.28999999999999998</v>
      </c>
      <c r="Y34">
        <v>1</v>
      </c>
      <c r="Z34">
        <v>10</v>
      </c>
    </row>
    <row r="35" spans="1:26" x14ac:dyDescent="0.3">
      <c r="A35">
        <v>33</v>
      </c>
      <c r="B35">
        <v>115</v>
      </c>
      <c r="C35" t="s">
        <v>26</v>
      </c>
      <c r="D35">
        <v>6.1104000000000003</v>
      </c>
      <c r="E35">
        <v>16.37</v>
      </c>
      <c r="F35">
        <v>13.05</v>
      </c>
      <c r="G35">
        <v>52.19</v>
      </c>
      <c r="H35">
        <v>0.69</v>
      </c>
      <c r="I35">
        <v>15</v>
      </c>
      <c r="J35">
        <v>236.92</v>
      </c>
      <c r="K35">
        <v>56.94</v>
      </c>
      <c r="L35">
        <v>9.25</v>
      </c>
      <c r="M35">
        <v>13</v>
      </c>
      <c r="N35">
        <v>55.73</v>
      </c>
      <c r="O35">
        <v>29454.44</v>
      </c>
      <c r="P35">
        <v>169.68</v>
      </c>
      <c r="Q35">
        <v>988.1</v>
      </c>
      <c r="R35">
        <v>46.77</v>
      </c>
      <c r="S35">
        <v>35.43</v>
      </c>
      <c r="T35">
        <v>4622.29</v>
      </c>
      <c r="U35">
        <v>0.76</v>
      </c>
      <c r="V35">
        <v>0.87</v>
      </c>
      <c r="W35">
        <v>2.99</v>
      </c>
      <c r="X35">
        <v>0.28999999999999998</v>
      </c>
      <c r="Y35">
        <v>1</v>
      </c>
      <c r="Z35">
        <v>10</v>
      </c>
    </row>
    <row r="36" spans="1:26" x14ac:dyDescent="0.3">
      <c r="A36">
        <v>34</v>
      </c>
      <c r="B36">
        <v>115</v>
      </c>
      <c r="C36" t="s">
        <v>26</v>
      </c>
      <c r="D36">
        <v>6.1402999999999999</v>
      </c>
      <c r="E36">
        <v>16.29</v>
      </c>
      <c r="F36">
        <v>13.01</v>
      </c>
      <c r="G36">
        <v>55.76</v>
      </c>
      <c r="H36">
        <v>0.71</v>
      </c>
      <c r="I36">
        <v>14</v>
      </c>
      <c r="J36">
        <v>237.35</v>
      </c>
      <c r="K36">
        <v>56.94</v>
      </c>
      <c r="L36">
        <v>9.5</v>
      </c>
      <c r="M36">
        <v>12</v>
      </c>
      <c r="N36">
        <v>55.91</v>
      </c>
      <c r="O36">
        <v>29507.8</v>
      </c>
      <c r="P36">
        <v>168.63</v>
      </c>
      <c r="Q36">
        <v>988.11</v>
      </c>
      <c r="R36">
        <v>45.85</v>
      </c>
      <c r="S36">
        <v>35.43</v>
      </c>
      <c r="T36">
        <v>4164.71</v>
      </c>
      <c r="U36">
        <v>0.77</v>
      </c>
      <c r="V36">
        <v>0.88</v>
      </c>
      <c r="W36">
        <v>2.98</v>
      </c>
      <c r="X36">
        <v>0.26</v>
      </c>
      <c r="Y36">
        <v>1</v>
      </c>
      <c r="Z36">
        <v>10</v>
      </c>
    </row>
    <row r="37" spans="1:26" x14ac:dyDescent="0.3">
      <c r="A37">
        <v>35</v>
      </c>
      <c r="B37">
        <v>115</v>
      </c>
      <c r="C37" t="s">
        <v>26</v>
      </c>
      <c r="D37">
        <v>6.1444999999999999</v>
      </c>
      <c r="E37">
        <v>16.27</v>
      </c>
      <c r="F37">
        <v>13</v>
      </c>
      <c r="G37">
        <v>55.71</v>
      </c>
      <c r="H37">
        <v>0.73</v>
      </c>
      <c r="I37">
        <v>14</v>
      </c>
      <c r="J37">
        <v>237.79</v>
      </c>
      <c r="K37">
        <v>56.94</v>
      </c>
      <c r="L37">
        <v>9.75</v>
      </c>
      <c r="M37">
        <v>12</v>
      </c>
      <c r="N37">
        <v>56.09</v>
      </c>
      <c r="O37">
        <v>29561.22</v>
      </c>
      <c r="P37">
        <v>167.37</v>
      </c>
      <c r="Q37">
        <v>988.11</v>
      </c>
      <c r="R37">
        <v>45.3</v>
      </c>
      <c r="S37">
        <v>35.43</v>
      </c>
      <c r="T37">
        <v>3890.9</v>
      </c>
      <c r="U37">
        <v>0.78</v>
      </c>
      <c r="V37">
        <v>0.88</v>
      </c>
      <c r="W37">
        <v>2.99</v>
      </c>
      <c r="X37">
        <v>0.25</v>
      </c>
      <c r="Y37">
        <v>1</v>
      </c>
      <c r="Z37">
        <v>10</v>
      </c>
    </row>
    <row r="38" spans="1:26" x14ac:dyDescent="0.3">
      <c r="A38">
        <v>36</v>
      </c>
      <c r="B38">
        <v>115</v>
      </c>
      <c r="C38" t="s">
        <v>26</v>
      </c>
      <c r="D38">
        <v>6.1623999999999999</v>
      </c>
      <c r="E38">
        <v>16.23</v>
      </c>
      <c r="F38">
        <v>13</v>
      </c>
      <c r="G38">
        <v>59.98</v>
      </c>
      <c r="H38">
        <v>0.75</v>
      </c>
      <c r="I38">
        <v>13</v>
      </c>
      <c r="J38">
        <v>238.22</v>
      </c>
      <c r="K38">
        <v>56.94</v>
      </c>
      <c r="L38">
        <v>10</v>
      </c>
      <c r="M38">
        <v>11</v>
      </c>
      <c r="N38">
        <v>56.28</v>
      </c>
      <c r="O38">
        <v>29614.71</v>
      </c>
      <c r="P38">
        <v>165.9</v>
      </c>
      <c r="Q38">
        <v>988.08</v>
      </c>
      <c r="R38">
        <v>45.29</v>
      </c>
      <c r="S38">
        <v>35.43</v>
      </c>
      <c r="T38">
        <v>3892.71</v>
      </c>
      <c r="U38">
        <v>0.78</v>
      </c>
      <c r="V38">
        <v>0.88</v>
      </c>
      <c r="W38">
        <v>2.98</v>
      </c>
      <c r="X38">
        <v>0.24</v>
      </c>
      <c r="Y38">
        <v>1</v>
      </c>
      <c r="Z38">
        <v>10</v>
      </c>
    </row>
    <row r="39" spans="1:26" x14ac:dyDescent="0.3">
      <c r="A39">
        <v>37</v>
      </c>
      <c r="B39">
        <v>115</v>
      </c>
      <c r="C39" t="s">
        <v>26</v>
      </c>
      <c r="D39">
        <v>6.1630000000000003</v>
      </c>
      <c r="E39">
        <v>16.23</v>
      </c>
      <c r="F39">
        <v>12.99</v>
      </c>
      <c r="G39">
        <v>59.97</v>
      </c>
      <c r="H39">
        <v>0.76</v>
      </c>
      <c r="I39">
        <v>13</v>
      </c>
      <c r="J39">
        <v>238.66</v>
      </c>
      <c r="K39">
        <v>56.94</v>
      </c>
      <c r="L39">
        <v>10.25</v>
      </c>
      <c r="M39">
        <v>11</v>
      </c>
      <c r="N39">
        <v>56.46</v>
      </c>
      <c r="O39">
        <v>29668.27</v>
      </c>
      <c r="P39">
        <v>165.11</v>
      </c>
      <c r="Q39">
        <v>988.12</v>
      </c>
      <c r="R39">
        <v>45.16</v>
      </c>
      <c r="S39">
        <v>35.43</v>
      </c>
      <c r="T39">
        <v>3828.14</v>
      </c>
      <c r="U39">
        <v>0.78</v>
      </c>
      <c r="V39">
        <v>0.88</v>
      </c>
      <c r="W39">
        <v>2.99</v>
      </c>
      <c r="X39">
        <v>0.24</v>
      </c>
      <c r="Y39">
        <v>1</v>
      </c>
      <c r="Z39">
        <v>10</v>
      </c>
    </row>
    <row r="40" spans="1:26" x14ac:dyDescent="0.3">
      <c r="A40">
        <v>38</v>
      </c>
      <c r="B40">
        <v>115</v>
      </c>
      <c r="C40" t="s">
        <v>26</v>
      </c>
      <c r="D40">
        <v>6.1665000000000001</v>
      </c>
      <c r="E40">
        <v>16.22</v>
      </c>
      <c r="F40">
        <v>12.99</v>
      </c>
      <c r="G40">
        <v>59.93</v>
      </c>
      <c r="H40">
        <v>0.78</v>
      </c>
      <c r="I40">
        <v>13</v>
      </c>
      <c r="J40">
        <v>239.09</v>
      </c>
      <c r="K40">
        <v>56.94</v>
      </c>
      <c r="L40">
        <v>10.5</v>
      </c>
      <c r="M40">
        <v>11</v>
      </c>
      <c r="N40">
        <v>56.65</v>
      </c>
      <c r="O40">
        <v>29721.89</v>
      </c>
      <c r="P40">
        <v>163.58000000000001</v>
      </c>
      <c r="Q40">
        <v>988.13</v>
      </c>
      <c r="R40">
        <v>44.84</v>
      </c>
      <c r="S40">
        <v>35.43</v>
      </c>
      <c r="T40">
        <v>3666.61</v>
      </c>
      <c r="U40">
        <v>0.79</v>
      </c>
      <c r="V40">
        <v>0.88</v>
      </c>
      <c r="W40">
        <v>2.99</v>
      </c>
      <c r="X40">
        <v>0.23</v>
      </c>
      <c r="Y40">
        <v>1</v>
      </c>
      <c r="Z40">
        <v>10</v>
      </c>
    </row>
    <row r="41" spans="1:26" x14ac:dyDescent="0.3">
      <c r="A41">
        <v>39</v>
      </c>
      <c r="B41">
        <v>115</v>
      </c>
      <c r="C41" t="s">
        <v>26</v>
      </c>
      <c r="D41">
        <v>6.1905000000000001</v>
      </c>
      <c r="E41">
        <v>16.149999999999999</v>
      </c>
      <c r="F41">
        <v>12.97</v>
      </c>
      <c r="G41">
        <v>64.83</v>
      </c>
      <c r="H41">
        <v>0.8</v>
      </c>
      <c r="I41">
        <v>12</v>
      </c>
      <c r="J41">
        <v>239.53</v>
      </c>
      <c r="K41">
        <v>56.94</v>
      </c>
      <c r="L41">
        <v>10.75</v>
      </c>
      <c r="M41">
        <v>10</v>
      </c>
      <c r="N41">
        <v>56.83</v>
      </c>
      <c r="O41">
        <v>29775.57</v>
      </c>
      <c r="P41">
        <v>162.32</v>
      </c>
      <c r="Q41">
        <v>988.09</v>
      </c>
      <c r="R41">
        <v>44.38</v>
      </c>
      <c r="S41">
        <v>35.43</v>
      </c>
      <c r="T41">
        <v>3441.29</v>
      </c>
      <c r="U41">
        <v>0.8</v>
      </c>
      <c r="V41">
        <v>0.88</v>
      </c>
      <c r="W41">
        <v>2.98</v>
      </c>
      <c r="X41">
        <v>0.21</v>
      </c>
      <c r="Y41">
        <v>1</v>
      </c>
      <c r="Z41">
        <v>10</v>
      </c>
    </row>
    <row r="42" spans="1:26" x14ac:dyDescent="0.3">
      <c r="A42">
        <v>40</v>
      </c>
      <c r="B42">
        <v>115</v>
      </c>
      <c r="C42" t="s">
        <v>26</v>
      </c>
      <c r="D42">
        <v>6.1909999999999998</v>
      </c>
      <c r="E42">
        <v>16.149999999999999</v>
      </c>
      <c r="F42">
        <v>12.96</v>
      </c>
      <c r="G42">
        <v>64.83</v>
      </c>
      <c r="H42">
        <v>0.82</v>
      </c>
      <c r="I42">
        <v>12</v>
      </c>
      <c r="J42">
        <v>239.96</v>
      </c>
      <c r="K42">
        <v>56.94</v>
      </c>
      <c r="L42">
        <v>11</v>
      </c>
      <c r="M42">
        <v>10</v>
      </c>
      <c r="N42">
        <v>57.02</v>
      </c>
      <c r="O42">
        <v>29829.32</v>
      </c>
      <c r="P42">
        <v>161.74</v>
      </c>
      <c r="Q42">
        <v>988.16</v>
      </c>
      <c r="R42">
        <v>44.39</v>
      </c>
      <c r="S42">
        <v>35.43</v>
      </c>
      <c r="T42">
        <v>3445.3</v>
      </c>
      <c r="U42">
        <v>0.8</v>
      </c>
      <c r="V42">
        <v>0.88</v>
      </c>
      <c r="W42">
        <v>2.98</v>
      </c>
      <c r="X42">
        <v>0.21</v>
      </c>
      <c r="Y42">
        <v>1</v>
      </c>
      <c r="Z42">
        <v>10</v>
      </c>
    </row>
    <row r="43" spans="1:26" x14ac:dyDescent="0.3">
      <c r="A43">
        <v>41</v>
      </c>
      <c r="B43">
        <v>115</v>
      </c>
      <c r="C43" t="s">
        <v>26</v>
      </c>
      <c r="D43">
        <v>6.1877000000000004</v>
      </c>
      <c r="E43">
        <v>16.16</v>
      </c>
      <c r="F43">
        <v>12.97</v>
      </c>
      <c r="G43">
        <v>64.87</v>
      </c>
      <c r="H43">
        <v>0.83</v>
      </c>
      <c r="I43">
        <v>12</v>
      </c>
      <c r="J43">
        <v>240.4</v>
      </c>
      <c r="K43">
        <v>56.94</v>
      </c>
      <c r="L43">
        <v>11.25</v>
      </c>
      <c r="M43">
        <v>10</v>
      </c>
      <c r="N43">
        <v>57.21</v>
      </c>
      <c r="O43">
        <v>29883.27</v>
      </c>
      <c r="P43">
        <v>160.5</v>
      </c>
      <c r="Q43">
        <v>988.08</v>
      </c>
      <c r="R43">
        <v>44.48</v>
      </c>
      <c r="S43">
        <v>35.43</v>
      </c>
      <c r="T43">
        <v>3492.58</v>
      </c>
      <c r="U43">
        <v>0.8</v>
      </c>
      <c r="V43">
        <v>0.88</v>
      </c>
      <c r="W43">
        <v>2.99</v>
      </c>
      <c r="X43">
        <v>0.22</v>
      </c>
      <c r="Y43">
        <v>1</v>
      </c>
      <c r="Z43">
        <v>10</v>
      </c>
    </row>
    <row r="44" spans="1:26" x14ac:dyDescent="0.3">
      <c r="A44">
        <v>42</v>
      </c>
      <c r="B44">
        <v>115</v>
      </c>
      <c r="C44" t="s">
        <v>26</v>
      </c>
      <c r="D44">
        <v>6.2133000000000003</v>
      </c>
      <c r="E44">
        <v>16.09</v>
      </c>
      <c r="F44">
        <v>12.95</v>
      </c>
      <c r="G44">
        <v>70.64</v>
      </c>
      <c r="H44">
        <v>0.85</v>
      </c>
      <c r="I44">
        <v>11</v>
      </c>
      <c r="J44">
        <v>240.84</v>
      </c>
      <c r="K44">
        <v>56.94</v>
      </c>
      <c r="L44">
        <v>11.5</v>
      </c>
      <c r="M44">
        <v>9</v>
      </c>
      <c r="N44">
        <v>57.39</v>
      </c>
      <c r="O44">
        <v>29937.16</v>
      </c>
      <c r="P44">
        <v>159.18</v>
      </c>
      <c r="Q44">
        <v>988.08</v>
      </c>
      <c r="R44">
        <v>43.99</v>
      </c>
      <c r="S44">
        <v>35.43</v>
      </c>
      <c r="T44">
        <v>3249.4</v>
      </c>
      <c r="U44">
        <v>0.81</v>
      </c>
      <c r="V44">
        <v>0.88</v>
      </c>
      <c r="W44">
        <v>2.98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115</v>
      </c>
      <c r="C45" t="s">
        <v>26</v>
      </c>
      <c r="D45">
        <v>6.2153</v>
      </c>
      <c r="E45">
        <v>16.09</v>
      </c>
      <c r="F45">
        <v>12.95</v>
      </c>
      <c r="G45">
        <v>70.61</v>
      </c>
      <c r="H45">
        <v>0.87</v>
      </c>
      <c r="I45">
        <v>11</v>
      </c>
      <c r="J45">
        <v>241.27</v>
      </c>
      <c r="K45">
        <v>56.94</v>
      </c>
      <c r="L45">
        <v>11.75</v>
      </c>
      <c r="M45">
        <v>9</v>
      </c>
      <c r="N45">
        <v>57.58</v>
      </c>
      <c r="O45">
        <v>29991.11</v>
      </c>
      <c r="P45">
        <v>158.46</v>
      </c>
      <c r="Q45">
        <v>988.21</v>
      </c>
      <c r="R45">
        <v>43.73</v>
      </c>
      <c r="S45">
        <v>35.43</v>
      </c>
      <c r="T45">
        <v>3118.67</v>
      </c>
      <c r="U45">
        <v>0.81</v>
      </c>
      <c r="V45">
        <v>0.88</v>
      </c>
      <c r="W45">
        <v>2.98</v>
      </c>
      <c r="X45">
        <v>0.19</v>
      </c>
      <c r="Y45">
        <v>1</v>
      </c>
      <c r="Z45">
        <v>10</v>
      </c>
    </row>
    <row r="46" spans="1:26" x14ac:dyDescent="0.3">
      <c r="A46">
        <v>44</v>
      </c>
      <c r="B46">
        <v>115</v>
      </c>
      <c r="C46" t="s">
        <v>26</v>
      </c>
      <c r="D46">
        <v>6.2134999999999998</v>
      </c>
      <c r="E46">
        <v>16.09</v>
      </c>
      <c r="F46">
        <v>12.95</v>
      </c>
      <c r="G46">
        <v>70.64</v>
      </c>
      <c r="H46">
        <v>0.88</v>
      </c>
      <c r="I46">
        <v>11</v>
      </c>
      <c r="J46">
        <v>241.71</v>
      </c>
      <c r="K46">
        <v>56.94</v>
      </c>
      <c r="L46">
        <v>12</v>
      </c>
      <c r="M46">
        <v>9</v>
      </c>
      <c r="N46">
        <v>57.77</v>
      </c>
      <c r="O46">
        <v>30045.13</v>
      </c>
      <c r="P46">
        <v>157.29</v>
      </c>
      <c r="Q46">
        <v>988.08</v>
      </c>
      <c r="R46">
        <v>43.82</v>
      </c>
      <c r="S46">
        <v>35.43</v>
      </c>
      <c r="T46">
        <v>3164.45</v>
      </c>
      <c r="U46">
        <v>0.81</v>
      </c>
      <c r="V46">
        <v>0.88</v>
      </c>
      <c r="W46">
        <v>2.98</v>
      </c>
      <c r="X46">
        <v>0.2</v>
      </c>
      <c r="Y46">
        <v>1</v>
      </c>
      <c r="Z46">
        <v>10</v>
      </c>
    </row>
    <row r="47" spans="1:26" x14ac:dyDescent="0.3">
      <c r="A47">
        <v>45</v>
      </c>
      <c r="B47">
        <v>115</v>
      </c>
      <c r="C47" t="s">
        <v>26</v>
      </c>
      <c r="D47">
        <v>6.2144000000000004</v>
      </c>
      <c r="E47">
        <v>16.09</v>
      </c>
      <c r="F47">
        <v>12.95</v>
      </c>
      <c r="G47">
        <v>70.63</v>
      </c>
      <c r="H47">
        <v>0.9</v>
      </c>
      <c r="I47">
        <v>11</v>
      </c>
      <c r="J47">
        <v>242.15</v>
      </c>
      <c r="K47">
        <v>56.94</v>
      </c>
      <c r="L47">
        <v>12.25</v>
      </c>
      <c r="M47">
        <v>7</v>
      </c>
      <c r="N47">
        <v>57.96</v>
      </c>
      <c r="O47">
        <v>30099.23</v>
      </c>
      <c r="P47">
        <v>154.83000000000001</v>
      </c>
      <c r="Q47">
        <v>988.12</v>
      </c>
      <c r="R47">
        <v>43.76</v>
      </c>
      <c r="S47">
        <v>35.43</v>
      </c>
      <c r="T47">
        <v>3133.7</v>
      </c>
      <c r="U47">
        <v>0.81</v>
      </c>
      <c r="V47">
        <v>0.88</v>
      </c>
      <c r="W47">
        <v>2.98</v>
      </c>
      <c r="X47">
        <v>0.19</v>
      </c>
      <c r="Y47">
        <v>1</v>
      </c>
      <c r="Z47">
        <v>10</v>
      </c>
    </row>
    <row r="48" spans="1:26" x14ac:dyDescent="0.3">
      <c r="A48">
        <v>46</v>
      </c>
      <c r="B48">
        <v>115</v>
      </c>
      <c r="C48" t="s">
        <v>26</v>
      </c>
      <c r="D48">
        <v>6.2397</v>
      </c>
      <c r="E48">
        <v>16.03</v>
      </c>
      <c r="F48">
        <v>12.93</v>
      </c>
      <c r="G48">
        <v>77.56</v>
      </c>
      <c r="H48">
        <v>0.92</v>
      </c>
      <c r="I48">
        <v>10</v>
      </c>
      <c r="J48">
        <v>242.59</v>
      </c>
      <c r="K48">
        <v>56.94</v>
      </c>
      <c r="L48">
        <v>12.5</v>
      </c>
      <c r="M48">
        <v>5</v>
      </c>
      <c r="N48">
        <v>58.15</v>
      </c>
      <c r="O48">
        <v>30153.38</v>
      </c>
      <c r="P48">
        <v>154.30000000000001</v>
      </c>
      <c r="Q48">
        <v>988.11</v>
      </c>
      <c r="R48">
        <v>42.95</v>
      </c>
      <c r="S48">
        <v>35.43</v>
      </c>
      <c r="T48">
        <v>2736.46</v>
      </c>
      <c r="U48">
        <v>0.83</v>
      </c>
      <c r="V48">
        <v>0.88</v>
      </c>
      <c r="W48">
        <v>2.99</v>
      </c>
      <c r="X48">
        <v>0.17</v>
      </c>
      <c r="Y48">
        <v>1</v>
      </c>
      <c r="Z48">
        <v>10</v>
      </c>
    </row>
    <row r="49" spans="1:26" x14ac:dyDescent="0.3">
      <c r="A49">
        <v>47</v>
      </c>
      <c r="B49">
        <v>115</v>
      </c>
      <c r="C49" t="s">
        <v>26</v>
      </c>
      <c r="D49">
        <v>6.2371999999999996</v>
      </c>
      <c r="E49">
        <v>16.03</v>
      </c>
      <c r="F49">
        <v>12.93</v>
      </c>
      <c r="G49">
        <v>77.599999999999994</v>
      </c>
      <c r="H49">
        <v>0.93</v>
      </c>
      <c r="I49">
        <v>10</v>
      </c>
      <c r="J49">
        <v>243.03</v>
      </c>
      <c r="K49">
        <v>56.94</v>
      </c>
      <c r="L49">
        <v>12.75</v>
      </c>
      <c r="M49">
        <v>3</v>
      </c>
      <c r="N49">
        <v>58.34</v>
      </c>
      <c r="O49">
        <v>30207.61</v>
      </c>
      <c r="P49">
        <v>154.32</v>
      </c>
      <c r="Q49">
        <v>988.08</v>
      </c>
      <c r="R49">
        <v>43.12</v>
      </c>
      <c r="S49">
        <v>35.43</v>
      </c>
      <c r="T49">
        <v>2821.57</v>
      </c>
      <c r="U49">
        <v>0.82</v>
      </c>
      <c r="V49">
        <v>0.88</v>
      </c>
      <c r="W49">
        <v>2.99</v>
      </c>
      <c r="X49">
        <v>0.18</v>
      </c>
      <c r="Y49">
        <v>1</v>
      </c>
      <c r="Z49">
        <v>10</v>
      </c>
    </row>
    <row r="50" spans="1:26" x14ac:dyDescent="0.3">
      <c r="A50">
        <v>48</v>
      </c>
      <c r="B50">
        <v>115</v>
      </c>
      <c r="C50" t="s">
        <v>26</v>
      </c>
      <c r="D50">
        <v>6.2373000000000003</v>
      </c>
      <c r="E50">
        <v>16.03</v>
      </c>
      <c r="F50">
        <v>12.93</v>
      </c>
      <c r="G50">
        <v>77.599999999999994</v>
      </c>
      <c r="H50">
        <v>0.95</v>
      </c>
      <c r="I50">
        <v>10</v>
      </c>
      <c r="J50">
        <v>243.47</v>
      </c>
      <c r="K50">
        <v>56.94</v>
      </c>
      <c r="L50">
        <v>13</v>
      </c>
      <c r="M50">
        <v>2</v>
      </c>
      <c r="N50">
        <v>58.53</v>
      </c>
      <c r="O50">
        <v>30261.91</v>
      </c>
      <c r="P50">
        <v>154.54</v>
      </c>
      <c r="Q50">
        <v>988.08</v>
      </c>
      <c r="R50">
        <v>43.08</v>
      </c>
      <c r="S50">
        <v>35.43</v>
      </c>
      <c r="T50">
        <v>2800.81</v>
      </c>
      <c r="U50">
        <v>0.82</v>
      </c>
      <c r="V50">
        <v>0.88</v>
      </c>
      <c r="W50">
        <v>2.99</v>
      </c>
      <c r="X50">
        <v>0.18</v>
      </c>
      <c r="Y50">
        <v>1</v>
      </c>
      <c r="Z50">
        <v>10</v>
      </c>
    </row>
    <row r="51" spans="1:26" x14ac:dyDescent="0.3">
      <c r="A51">
        <v>49</v>
      </c>
      <c r="B51">
        <v>115</v>
      </c>
      <c r="C51" t="s">
        <v>26</v>
      </c>
      <c r="D51">
        <v>6.2347999999999999</v>
      </c>
      <c r="E51">
        <v>16.04</v>
      </c>
      <c r="F51">
        <v>12.94</v>
      </c>
      <c r="G51">
        <v>77.64</v>
      </c>
      <c r="H51">
        <v>0.97</v>
      </c>
      <c r="I51">
        <v>10</v>
      </c>
      <c r="J51">
        <v>243.91</v>
      </c>
      <c r="K51">
        <v>56.94</v>
      </c>
      <c r="L51">
        <v>13.25</v>
      </c>
      <c r="M51">
        <v>0</v>
      </c>
      <c r="N51">
        <v>58.72</v>
      </c>
      <c r="O51">
        <v>30316.27</v>
      </c>
      <c r="P51">
        <v>154.05000000000001</v>
      </c>
      <c r="Q51">
        <v>988.09</v>
      </c>
      <c r="R51">
        <v>43.36</v>
      </c>
      <c r="S51">
        <v>35.43</v>
      </c>
      <c r="T51">
        <v>2940.06</v>
      </c>
      <c r="U51">
        <v>0.82</v>
      </c>
      <c r="V51">
        <v>0.88</v>
      </c>
      <c r="W51">
        <v>2.99</v>
      </c>
      <c r="X51">
        <v>0.19</v>
      </c>
      <c r="Y51">
        <v>1</v>
      </c>
      <c r="Z51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ilha18"/>
  <dimension ref="A1:Z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35</v>
      </c>
      <c r="C2" t="s">
        <v>26</v>
      </c>
      <c r="D2">
        <v>5.7282000000000002</v>
      </c>
      <c r="E2">
        <v>17.46</v>
      </c>
      <c r="F2">
        <v>14.26</v>
      </c>
      <c r="G2">
        <v>11.26</v>
      </c>
      <c r="H2">
        <v>0.22</v>
      </c>
      <c r="I2">
        <v>76</v>
      </c>
      <c r="J2">
        <v>80.84</v>
      </c>
      <c r="K2">
        <v>35.1</v>
      </c>
      <c r="L2">
        <v>1</v>
      </c>
      <c r="M2">
        <v>74</v>
      </c>
      <c r="N2">
        <v>9.74</v>
      </c>
      <c r="O2">
        <v>10204.209999999999</v>
      </c>
      <c r="P2">
        <v>104.18</v>
      </c>
      <c r="Q2">
        <v>988.57</v>
      </c>
      <c r="R2">
        <v>84.64</v>
      </c>
      <c r="S2">
        <v>35.43</v>
      </c>
      <c r="T2">
        <v>23250.49</v>
      </c>
      <c r="U2">
        <v>0.42</v>
      </c>
      <c r="V2">
        <v>0.8</v>
      </c>
      <c r="W2">
        <v>3.08</v>
      </c>
      <c r="X2">
        <v>1.5</v>
      </c>
      <c r="Y2">
        <v>1</v>
      </c>
      <c r="Z2">
        <v>10</v>
      </c>
    </row>
    <row r="3" spans="1:26" x14ac:dyDescent="0.3">
      <c r="A3">
        <v>1</v>
      </c>
      <c r="B3">
        <v>35</v>
      </c>
      <c r="C3" t="s">
        <v>26</v>
      </c>
      <c r="D3">
        <v>5.9565999999999999</v>
      </c>
      <c r="E3">
        <v>16.79</v>
      </c>
      <c r="F3">
        <v>13.9</v>
      </c>
      <c r="G3">
        <v>14.38</v>
      </c>
      <c r="H3">
        <v>0.27</v>
      </c>
      <c r="I3">
        <v>58</v>
      </c>
      <c r="J3">
        <v>81.14</v>
      </c>
      <c r="K3">
        <v>35.1</v>
      </c>
      <c r="L3">
        <v>1.25</v>
      </c>
      <c r="M3">
        <v>56</v>
      </c>
      <c r="N3">
        <v>9.7899999999999991</v>
      </c>
      <c r="O3">
        <v>10241.25</v>
      </c>
      <c r="P3">
        <v>98.65</v>
      </c>
      <c r="Q3">
        <v>988.31</v>
      </c>
      <c r="R3">
        <v>73.569999999999993</v>
      </c>
      <c r="S3">
        <v>35.43</v>
      </c>
      <c r="T3">
        <v>17804.29</v>
      </c>
      <c r="U3">
        <v>0.48</v>
      </c>
      <c r="V3">
        <v>0.82</v>
      </c>
      <c r="W3">
        <v>3.05</v>
      </c>
      <c r="X3">
        <v>1.1399999999999999</v>
      </c>
      <c r="Y3">
        <v>1</v>
      </c>
      <c r="Z3">
        <v>10</v>
      </c>
    </row>
    <row r="4" spans="1:26" x14ac:dyDescent="0.3">
      <c r="A4">
        <v>2</v>
      </c>
      <c r="B4">
        <v>35</v>
      </c>
      <c r="C4" t="s">
        <v>26</v>
      </c>
      <c r="D4">
        <v>6.1189999999999998</v>
      </c>
      <c r="E4">
        <v>16.34</v>
      </c>
      <c r="F4">
        <v>13.66</v>
      </c>
      <c r="G4">
        <v>17.82</v>
      </c>
      <c r="H4">
        <v>0.32</v>
      </c>
      <c r="I4">
        <v>46</v>
      </c>
      <c r="J4">
        <v>81.44</v>
      </c>
      <c r="K4">
        <v>35.1</v>
      </c>
      <c r="L4">
        <v>1.5</v>
      </c>
      <c r="M4">
        <v>44</v>
      </c>
      <c r="N4">
        <v>9.84</v>
      </c>
      <c r="O4">
        <v>10278.32</v>
      </c>
      <c r="P4">
        <v>93.91</v>
      </c>
      <c r="Q4">
        <v>988.18</v>
      </c>
      <c r="R4">
        <v>65.430000000000007</v>
      </c>
      <c r="S4">
        <v>35.43</v>
      </c>
      <c r="T4">
        <v>13797.88</v>
      </c>
      <c r="U4">
        <v>0.54</v>
      </c>
      <c r="V4">
        <v>0.83</v>
      </c>
      <c r="W4">
        <v>3.05</v>
      </c>
      <c r="X4">
        <v>0.9</v>
      </c>
      <c r="Y4">
        <v>1</v>
      </c>
      <c r="Z4">
        <v>10</v>
      </c>
    </row>
    <row r="5" spans="1:26" x14ac:dyDescent="0.3">
      <c r="A5">
        <v>3</v>
      </c>
      <c r="B5">
        <v>35</v>
      </c>
      <c r="C5" t="s">
        <v>26</v>
      </c>
      <c r="D5">
        <v>6.2385000000000002</v>
      </c>
      <c r="E5">
        <v>16.03</v>
      </c>
      <c r="F5">
        <v>13.48</v>
      </c>
      <c r="G5">
        <v>21.29</v>
      </c>
      <c r="H5">
        <v>0.38</v>
      </c>
      <c r="I5">
        <v>38</v>
      </c>
      <c r="J5">
        <v>81.739999999999995</v>
      </c>
      <c r="K5">
        <v>35.1</v>
      </c>
      <c r="L5">
        <v>1.75</v>
      </c>
      <c r="M5">
        <v>36</v>
      </c>
      <c r="N5">
        <v>9.89</v>
      </c>
      <c r="O5">
        <v>10315.41</v>
      </c>
      <c r="P5">
        <v>89.6</v>
      </c>
      <c r="Q5">
        <v>988.22</v>
      </c>
      <c r="R5">
        <v>60.29</v>
      </c>
      <c r="S5">
        <v>35.43</v>
      </c>
      <c r="T5">
        <v>11266.15</v>
      </c>
      <c r="U5">
        <v>0.59</v>
      </c>
      <c r="V5">
        <v>0.85</v>
      </c>
      <c r="W5">
        <v>3.03</v>
      </c>
      <c r="X5">
        <v>0.73</v>
      </c>
      <c r="Y5">
        <v>1</v>
      </c>
      <c r="Z5">
        <v>10</v>
      </c>
    </row>
    <row r="6" spans="1:26" x14ac:dyDescent="0.3">
      <c r="A6">
        <v>4</v>
      </c>
      <c r="B6">
        <v>35</v>
      </c>
      <c r="C6" t="s">
        <v>26</v>
      </c>
      <c r="D6">
        <v>6.3219000000000003</v>
      </c>
      <c r="E6">
        <v>15.82</v>
      </c>
      <c r="F6">
        <v>13.38</v>
      </c>
      <c r="G6">
        <v>25.08</v>
      </c>
      <c r="H6">
        <v>0.43</v>
      </c>
      <c r="I6">
        <v>32</v>
      </c>
      <c r="J6">
        <v>82.04</v>
      </c>
      <c r="K6">
        <v>35.1</v>
      </c>
      <c r="L6">
        <v>2</v>
      </c>
      <c r="M6">
        <v>22</v>
      </c>
      <c r="N6">
        <v>9.94</v>
      </c>
      <c r="O6">
        <v>10352.530000000001</v>
      </c>
      <c r="P6">
        <v>85.67</v>
      </c>
      <c r="Q6">
        <v>988.14</v>
      </c>
      <c r="R6">
        <v>56.93</v>
      </c>
      <c r="S6">
        <v>35.43</v>
      </c>
      <c r="T6">
        <v>9617.5</v>
      </c>
      <c r="U6">
        <v>0.62</v>
      </c>
      <c r="V6">
        <v>0.85</v>
      </c>
      <c r="W6">
        <v>3.02</v>
      </c>
      <c r="X6">
        <v>0.62</v>
      </c>
      <c r="Y6">
        <v>1</v>
      </c>
      <c r="Z6">
        <v>10</v>
      </c>
    </row>
    <row r="7" spans="1:26" x14ac:dyDescent="0.3">
      <c r="A7">
        <v>5</v>
      </c>
      <c r="B7">
        <v>35</v>
      </c>
      <c r="C7" t="s">
        <v>26</v>
      </c>
      <c r="D7">
        <v>6.3404999999999996</v>
      </c>
      <c r="E7">
        <v>15.77</v>
      </c>
      <c r="F7">
        <v>13.36</v>
      </c>
      <c r="G7">
        <v>26.73</v>
      </c>
      <c r="H7">
        <v>0.48</v>
      </c>
      <c r="I7">
        <v>30</v>
      </c>
      <c r="J7">
        <v>82.34</v>
      </c>
      <c r="K7">
        <v>35.1</v>
      </c>
      <c r="L7">
        <v>2.25</v>
      </c>
      <c r="M7">
        <v>8</v>
      </c>
      <c r="N7">
        <v>9.99</v>
      </c>
      <c r="O7">
        <v>10389.66</v>
      </c>
      <c r="P7">
        <v>84.4</v>
      </c>
      <c r="Q7">
        <v>988.09</v>
      </c>
      <c r="R7">
        <v>55.86</v>
      </c>
      <c r="S7">
        <v>35.43</v>
      </c>
      <c r="T7">
        <v>9090.2900000000009</v>
      </c>
      <c r="U7">
        <v>0.63</v>
      </c>
      <c r="V7">
        <v>0.85</v>
      </c>
      <c r="W7">
        <v>3.04</v>
      </c>
      <c r="X7">
        <v>0.61</v>
      </c>
      <c r="Y7">
        <v>1</v>
      </c>
      <c r="Z7">
        <v>10</v>
      </c>
    </row>
    <row r="8" spans="1:26" x14ac:dyDescent="0.3">
      <c r="A8">
        <v>6</v>
      </c>
      <c r="B8">
        <v>35</v>
      </c>
      <c r="C8" t="s">
        <v>26</v>
      </c>
      <c r="D8">
        <v>6.3319999999999999</v>
      </c>
      <c r="E8">
        <v>15.79</v>
      </c>
      <c r="F8">
        <v>13.38</v>
      </c>
      <c r="G8">
        <v>26.77</v>
      </c>
      <c r="H8">
        <v>0.53</v>
      </c>
      <c r="I8">
        <v>30</v>
      </c>
      <c r="J8">
        <v>82.65</v>
      </c>
      <c r="K8">
        <v>35.1</v>
      </c>
      <c r="L8">
        <v>2.5</v>
      </c>
      <c r="M8">
        <v>1</v>
      </c>
      <c r="N8">
        <v>10.039999999999999</v>
      </c>
      <c r="O8">
        <v>10426.82</v>
      </c>
      <c r="P8">
        <v>84.61</v>
      </c>
      <c r="Q8">
        <v>988.15</v>
      </c>
      <c r="R8">
        <v>56.23</v>
      </c>
      <c r="S8">
        <v>35.43</v>
      </c>
      <c r="T8">
        <v>9278.51</v>
      </c>
      <c r="U8">
        <v>0.63</v>
      </c>
      <c r="V8">
        <v>0.85</v>
      </c>
      <c r="W8">
        <v>3.05</v>
      </c>
      <c r="X8">
        <v>0.63</v>
      </c>
      <c r="Y8">
        <v>1</v>
      </c>
      <c r="Z8">
        <v>10</v>
      </c>
    </row>
    <row r="9" spans="1:26" x14ac:dyDescent="0.3">
      <c r="A9">
        <v>7</v>
      </c>
      <c r="B9">
        <v>35</v>
      </c>
      <c r="C9" t="s">
        <v>26</v>
      </c>
      <c r="D9">
        <v>6.3319999999999999</v>
      </c>
      <c r="E9">
        <v>15.79</v>
      </c>
      <c r="F9">
        <v>13.38</v>
      </c>
      <c r="G9">
        <v>26.77</v>
      </c>
      <c r="H9">
        <v>0.57999999999999996</v>
      </c>
      <c r="I9">
        <v>30</v>
      </c>
      <c r="J9">
        <v>82.95</v>
      </c>
      <c r="K9">
        <v>35.1</v>
      </c>
      <c r="L9">
        <v>2.75</v>
      </c>
      <c r="M9">
        <v>0</v>
      </c>
      <c r="N9">
        <v>10.1</v>
      </c>
      <c r="O9">
        <v>10463.99</v>
      </c>
      <c r="P9">
        <v>84.83</v>
      </c>
      <c r="Q9">
        <v>988.15</v>
      </c>
      <c r="R9">
        <v>56.2</v>
      </c>
      <c r="S9">
        <v>35.43</v>
      </c>
      <c r="T9">
        <v>9263.51</v>
      </c>
      <c r="U9">
        <v>0.63</v>
      </c>
      <c r="V9">
        <v>0.85</v>
      </c>
      <c r="W9">
        <v>3.05</v>
      </c>
      <c r="X9">
        <v>0.63</v>
      </c>
      <c r="Y9">
        <v>1</v>
      </c>
      <c r="Z9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ilha19"/>
  <dimension ref="A1:Z1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50</v>
      </c>
      <c r="C2" t="s">
        <v>26</v>
      </c>
      <c r="D2">
        <v>5.2777000000000003</v>
      </c>
      <c r="E2">
        <v>18.95</v>
      </c>
      <c r="F2">
        <v>14.73</v>
      </c>
      <c r="G2">
        <v>9.02</v>
      </c>
      <c r="H2">
        <v>0.16</v>
      </c>
      <c r="I2">
        <v>98</v>
      </c>
      <c r="J2">
        <v>107.41</v>
      </c>
      <c r="K2">
        <v>41.65</v>
      </c>
      <c r="L2">
        <v>1</v>
      </c>
      <c r="M2">
        <v>96</v>
      </c>
      <c r="N2">
        <v>14.77</v>
      </c>
      <c r="O2">
        <v>13481.73</v>
      </c>
      <c r="P2">
        <v>134.80000000000001</v>
      </c>
      <c r="Q2">
        <v>988.38</v>
      </c>
      <c r="R2">
        <v>98.95</v>
      </c>
      <c r="S2">
        <v>35.43</v>
      </c>
      <c r="T2">
        <v>30294.34</v>
      </c>
      <c r="U2">
        <v>0.36</v>
      </c>
      <c r="V2">
        <v>0.77</v>
      </c>
      <c r="W2">
        <v>3.13</v>
      </c>
      <c r="X2">
        <v>1.98</v>
      </c>
      <c r="Y2">
        <v>1</v>
      </c>
      <c r="Z2">
        <v>10</v>
      </c>
    </row>
    <row r="3" spans="1:26" x14ac:dyDescent="0.3">
      <c r="A3">
        <v>1</v>
      </c>
      <c r="B3">
        <v>50</v>
      </c>
      <c r="C3" t="s">
        <v>26</v>
      </c>
      <c r="D3">
        <v>5.5769000000000002</v>
      </c>
      <c r="E3">
        <v>17.93</v>
      </c>
      <c r="F3">
        <v>14.23</v>
      </c>
      <c r="G3">
        <v>11.38</v>
      </c>
      <c r="H3">
        <v>0.2</v>
      </c>
      <c r="I3">
        <v>75</v>
      </c>
      <c r="J3">
        <v>107.73</v>
      </c>
      <c r="K3">
        <v>41.65</v>
      </c>
      <c r="L3">
        <v>1.25</v>
      </c>
      <c r="M3">
        <v>73</v>
      </c>
      <c r="N3">
        <v>14.83</v>
      </c>
      <c r="O3">
        <v>13520.81</v>
      </c>
      <c r="P3">
        <v>128.21</v>
      </c>
      <c r="Q3">
        <v>988.31</v>
      </c>
      <c r="R3">
        <v>83.48</v>
      </c>
      <c r="S3">
        <v>35.43</v>
      </c>
      <c r="T3">
        <v>22677.02</v>
      </c>
      <c r="U3">
        <v>0.42</v>
      </c>
      <c r="V3">
        <v>0.8</v>
      </c>
      <c r="W3">
        <v>3.09</v>
      </c>
      <c r="X3">
        <v>1.47</v>
      </c>
      <c r="Y3">
        <v>1</v>
      </c>
      <c r="Z3">
        <v>10</v>
      </c>
    </row>
    <row r="4" spans="1:26" x14ac:dyDescent="0.3">
      <c r="A4">
        <v>2</v>
      </c>
      <c r="B4">
        <v>50</v>
      </c>
      <c r="C4" t="s">
        <v>26</v>
      </c>
      <c r="D4">
        <v>5.7816999999999998</v>
      </c>
      <c r="E4">
        <v>17.3</v>
      </c>
      <c r="F4">
        <v>13.93</v>
      </c>
      <c r="G4">
        <v>13.93</v>
      </c>
      <c r="H4">
        <v>0.24</v>
      </c>
      <c r="I4">
        <v>60</v>
      </c>
      <c r="J4">
        <v>108.05</v>
      </c>
      <c r="K4">
        <v>41.65</v>
      </c>
      <c r="L4">
        <v>1.5</v>
      </c>
      <c r="M4">
        <v>58</v>
      </c>
      <c r="N4">
        <v>14.9</v>
      </c>
      <c r="O4">
        <v>13559.91</v>
      </c>
      <c r="P4">
        <v>123.64</v>
      </c>
      <c r="Q4">
        <v>988.43</v>
      </c>
      <c r="R4">
        <v>74.209999999999994</v>
      </c>
      <c r="S4">
        <v>35.43</v>
      </c>
      <c r="T4">
        <v>18116.72</v>
      </c>
      <c r="U4">
        <v>0.48</v>
      </c>
      <c r="V4">
        <v>0.82</v>
      </c>
      <c r="W4">
        <v>3.06</v>
      </c>
      <c r="X4">
        <v>1.17</v>
      </c>
      <c r="Y4">
        <v>1</v>
      </c>
      <c r="Z4">
        <v>10</v>
      </c>
    </row>
    <row r="5" spans="1:26" x14ac:dyDescent="0.3">
      <c r="A5">
        <v>3</v>
      </c>
      <c r="B5">
        <v>50</v>
      </c>
      <c r="C5" t="s">
        <v>26</v>
      </c>
      <c r="D5">
        <v>5.9032</v>
      </c>
      <c r="E5">
        <v>16.940000000000001</v>
      </c>
      <c r="F5">
        <v>13.77</v>
      </c>
      <c r="G5">
        <v>16.2</v>
      </c>
      <c r="H5">
        <v>0.28000000000000003</v>
      </c>
      <c r="I5">
        <v>51</v>
      </c>
      <c r="J5">
        <v>108.37</v>
      </c>
      <c r="K5">
        <v>41.65</v>
      </c>
      <c r="L5">
        <v>1.75</v>
      </c>
      <c r="M5">
        <v>49</v>
      </c>
      <c r="N5">
        <v>14.97</v>
      </c>
      <c r="O5">
        <v>13599.17</v>
      </c>
      <c r="P5">
        <v>120.16</v>
      </c>
      <c r="Q5">
        <v>988.24</v>
      </c>
      <c r="R5">
        <v>69.48</v>
      </c>
      <c r="S5">
        <v>35.43</v>
      </c>
      <c r="T5">
        <v>15797.23</v>
      </c>
      <c r="U5">
        <v>0.51</v>
      </c>
      <c r="V5">
        <v>0.83</v>
      </c>
      <c r="W5">
        <v>3.05</v>
      </c>
      <c r="X5">
        <v>1.02</v>
      </c>
      <c r="Y5">
        <v>1</v>
      </c>
      <c r="Z5">
        <v>10</v>
      </c>
    </row>
    <row r="6" spans="1:26" x14ac:dyDescent="0.3">
      <c r="A6">
        <v>4</v>
      </c>
      <c r="B6">
        <v>50</v>
      </c>
      <c r="C6" t="s">
        <v>26</v>
      </c>
      <c r="D6">
        <v>6.0303000000000004</v>
      </c>
      <c r="E6">
        <v>16.579999999999998</v>
      </c>
      <c r="F6">
        <v>13.59</v>
      </c>
      <c r="G6">
        <v>18.96</v>
      </c>
      <c r="H6">
        <v>0.32</v>
      </c>
      <c r="I6">
        <v>43</v>
      </c>
      <c r="J6">
        <v>108.68</v>
      </c>
      <c r="K6">
        <v>41.65</v>
      </c>
      <c r="L6">
        <v>2</v>
      </c>
      <c r="M6">
        <v>41</v>
      </c>
      <c r="N6">
        <v>15.03</v>
      </c>
      <c r="O6">
        <v>13638.32</v>
      </c>
      <c r="P6">
        <v>116.45</v>
      </c>
      <c r="Q6">
        <v>988.19</v>
      </c>
      <c r="R6">
        <v>63.81</v>
      </c>
      <c r="S6">
        <v>35.43</v>
      </c>
      <c r="T6">
        <v>13001.98</v>
      </c>
      <c r="U6">
        <v>0.56000000000000005</v>
      </c>
      <c r="V6">
        <v>0.84</v>
      </c>
      <c r="W6">
        <v>3.03</v>
      </c>
      <c r="X6">
        <v>0.84</v>
      </c>
      <c r="Y6">
        <v>1</v>
      </c>
      <c r="Z6">
        <v>10</v>
      </c>
    </row>
    <row r="7" spans="1:26" x14ac:dyDescent="0.3">
      <c r="A7">
        <v>5</v>
      </c>
      <c r="B7">
        <v>50</v>
      </c>
      <c r="C7" t="s">
        <v>26</v>
      </c>
      <c r="D7">
        <v>6.1196000000000002</v>
      </c>
      <c r="E7">
        <v>16.34</v>
      </c>
      <c r="F7">
        <v>13.48</v>
      </c>
      <c r="G7">
        <v>21.86</v>
      </c>
      <c r="H7">
        <v>0.36</v>
      </c>
      <c r="I7">
        <v>37</v>
      </c>
      <c r="J7">
        <v>109</v>
      </c>
      <c r="K7">
        <v>41.65</v>
      </c>
      <c r="L7">
        <v>2.25</v>
      </c>
      <c r="M7">
        <v>35</v>
      </c>
      <c r="N7">
        <v>15.1</v>
      </c>
      <c r="O7">
        <v>13677.51</v>
      </c>
      <c r="P7">
        <v>113.29</v>
      </c>
      <c r="Q7">
        <v>988.14</v>
      </c>
      <c r="R7">
        <v>60.27</v>
      </c>
      <c r="S7">
        <v>35.43</v>
      </c>
      <c r="T7">
        <v>11260.52</v>
      </c>
      <c r="U7">
        <v>0.59</v>
      </c>
      <c r="V7">
        <v>0.85</v>
      </c>
      <c r="W7">
        <v>3.03</v>
      </c>
      <c r="X7">
        <v>0.73</v>
      </c>
      <c r="Y7">
        <v>1</v>
      </c>
      <c r="Z7">
        <v>10</v>
      </c>
    </row>
    <row r="8" spans="1:26" x14ac:dyDescent="0.3">
      <c r="A8">
        <v>6</v>
      </c>
      <c r="B8">
        <v>50</v>
      </c>
      <c r="C8" t="s">
        <v>26</v>
      </c>
      <c r="D8">
        <v>6.1845999999999997</v>
      </c>
      <c r="E8">
        <v>16.170000000000002</v>
      </c>
      <c r="F8">
        <v>13.4</v>
      </c>
      <c r="G8">
        <v>24.36</v>
      </c>
      <c r="H8">
        <v>0.4</v>
      </c>
      <c r="I8">
        <v>33</v>
      </c>
      <c r="J8">
        <v>109.32</v>
      </c>
      <c r="K8">
        <v>41.65</v>
      </c>
      <c r="L8">
        <v>2.5</v>
      </c>
      <c r="M8">
        <v>31</v>
      </c>
      <c r="N8">
        <v>15.17</v>
      </c>
      <c r="O8">
        <v>13716.72</v>
      </c>
      <c r="P8">
        <v>110.46</v>
      </c>
      <c r="Q8">
        <v>988.15</v>
      </c>
      <c r="R8">
        <v>57.55</v>
      </c>
      <c r="S8">
        <v>35.43</v>
      </c>
      <c r="T8">
        <v>9922.43</v>
      </c>
      <c r="U8">
        <v>0.62</v>
      </c>
      <c r="V8">
        <v>0.85</v>
      </c>
      <c r="W8">
        <v>3.03</v>
      </c>
      <c r="X8">
        <v>0.65</v>
      </c>
      <c r="Y8">
        <v>1</v>
      </c>
      <c r="Z8">
        <v>10</v>
      </c>
    </row>
    <row r="9" spans="1:26" x14ac:dyDescent="0.3">
      <c r="A9">
        <v>7</v>
      </c>
      <c r="B9">
        <v>50</v>
      </c>
      <c r="C9" t="s">
        <v>26</v>
      </c>
      <c r="D9">
        <v>6.2564000000000002</v>
      </c>
      <c r="E9">
        <v>15.98</v>
      </c>
      <c r="F9">
        <v>13.3</v>
      </c>
      <c r="G9">
        <v>27.52</v>
      </c>
      <c r="H9">
        <v>0.44</v>
      </c>
      <c r="I9">
        <v>29</v>
      </c>
      <c r="J9">
        <v>109.64</v>
      </c>
      <c r="K9">
        <v>41.65</v>
      </c>
      <c r="L9">
        <v>2.75</v>
      </c>
      <c r="M9">
        <v>27</v>
      </c>
      <c r="N9">
        <v>15.24</v>
      </c>
      <c r="O9">
        <v>13755.95</v>
      </c>
      <c r="P9">
        <v>107.25</v>
      </c>
      <c r="Q9">
        <v>988.2</v>
      </c>
      <c r="R9">
        <v>54.92</v>
      </c>
      <c r="S9">
        <v>35.43</v>
      </c>
      <c r="T9">
        <v>8627.91</v>
      </c>
      <c r="U9">
        <v>0.65</v>
      </c>
      <c r="V9">
        <v>0.86</v>
      </c>
      <c r="W9">
        <v>3.01</v>
      </c>
      <c r="X9">
        <v>0.55000000000000004</v>
      </c>
      <c r="Y9">
        <v>1</v>
      </c>
      <c r="Z9">
        <v>10</v>
      </c>
    </row>
    <row r="10" spans="1:26" x14ac:dyDescent="0.3">
      <c r="A10">
        <v>8</v>
      </c>
      <c r="B10">
        <v>50</v>
      </c>
      <c r="C10" t="s">
        <v>26</v>
      </c>
      <c r="D10">
        <v>6.3018999999999998</v>
      </c>
      <c r="E10">
        <v>15.87</v>
      </c>
      <c r="F10">
        <v>13.25</v>
      </c>
      <c r="G10">
        <v>30.59</v>
      </c>
      <c r="H10">
        <v>0.48</v>
      </c>
      <c r="I10">
        <v>26</v>
      </c>
      <c r="J10">
        <v>109.96</v>
      </c>
      <c r="K10">
        <v>41.65</v>
      </c>
      <c r="L10">
        <v>3</v>
      </c>
      <c r="M10">
        <v>24</v>
      </c>
      <c r="N10">
        <v>15.31</v>
      </c>
      <c r="O10">
        <v>13795.21</v>
      </c>
      <c r="P10">
        <v>104.3</v>
      </c>
      <c r="Q10">
        <v>988.08</v>
      </c>
      <c r="R10">
        <v>53.29</v>
      </c>
      <c r="S10">
        <v>35.43</v>
      </c>
      <c r="T10">
        <v>7825.64</v>
      </c>
      <c r="U10">
        <v>0.66</v>
      </c>
      <c r="V10">
        <v>0.86</v>
      </c>
      <c r="W10">
        <v>3.01</v>
      </c>
      <c r="X10">
        <v>0.5</v>
      </c>
      <c r="Y10">
        <v>1</v>
      </c>
      <c r="Z10">
        <v>10</v>
      </c>
    </row>
    <row r="11" spans="1:26" x14ac:dyDescent="0.3">
      <c r="A11">
        <v>9</v>
      </c>
      <c r="B11">
        <v>50</v>
      </c>
      <c r="C11" t="s">
        <v>26</v>
      </c>
      <c r="D11">
        <v>6.34</v>
      </c>
      <c r="E11">
        <v>15.77</v>
      </c>
      <c r="F11">
        <v>13.2</v>
      </c>
      <c r="G11">
        <v>33.01</v>
      </c>
      <c r="H11">
        <v>0.52</v>
      </c>
      <c r="I11">
        <v>24</v>
      </c>
      <c r="J11">
        <v>110.27</v>
      </c>
      <c r="K11">
        <v>41.65</v>
      </c>
      <c r="L11">
        <v>3.25</v>
      </c>
      <c r="M11">
        <v>19</v>
      </c>
      <c r="N11">
        <v>15.37</v>
      </c>
      <c r="O11">
        <v>13834.5</v>
      </c>
      <c r="P11">
        <v>101.85</v>
      </c>
      <c r="Q11">
        <v>988.1</v>
      </c>
      <c r="R11">
        <v>51.51</v>
      </c>
      <c r="S11">
        <v>35.43</v>
      </c>
      <c r="T11">
        <v>6945.96</v>
      </c>
      <c r="U11">
        <v>0.69</v>
      </c>
      <c r="V11">
        <v>0.86</v>
      </c>
      <c r="W11">
        <v>3.01</v>
      </c>
      <c r="X11">
        <v>0.45</v>
      </c>
      <c r="Y11">
        <v>1</v>
      </c>
      <c r="Z11">
        <v>10</v>
      </c>
    </row>
    <row r="12" spans="1:26" x14ac:dyDescent="0.3">
      <c r="A12">
        <v>10</v>
      </c>
      <c r="B12">
        <v>50</v>
      </c>
      <c r="C12" t="s">
        <v>26</v>
      </c>
      <c r="D12">
        <v>6.3676000000000004</v>
      </c>
      <c r="E12">
        <v>15.7</v>
      </c>
      <c r="F12">
        <v>13.18</v>
      </c>
      <c r="G12">
        <v>35.94</v>
      </c>
      <c r="H12">
        <v>0.56000000000000005</v>
      </c>
      <c r="I12">
        <v>22</v>
      </c>
      <c r="J12">
        <v>110.59</v>
      </c>
      <c r="K12">
        <v>41.65</v>
      </c>
      <c r="L12">
        <v>3.5</v>
      </c>
      <c r="M12">
        <v>11</v>
      </c>
      <c r="N12">
        <v>15.44</v>
      </c>
      <c r="O12">
        <v>13873.81</v>
      </c>
      <c r="P12">
        <v>99.85</v>
      </c>
      <c r="Q12">
        <v>988.33</v>
      </c>
      <c r="R12">
        <v>50.61</v>
      </c>
      <c r="S12">
        <v>35.43</v>
      </c>
      <c r="T12">
        <v>6503.84</v>
      </c>
      <c r="U12">
        <v>0.7</v>
      </c>
      <c r="V12">
        <v>0.86</v>
      </c>
      <c r="W12">
        <v>3.01</v>
      </c>
      <c r="X12">
        <v>0.42</v>
      </c>
      <c r="Y12">
        <v>1</v>
      </c>
      <c r="Z12">
        <v>10</v>
      </c>
    </row>
    <row r="13" spans="1:26" x14ac:dyDescent="0.3">
      <c r="A13">
        <v>11</v>
      </c>
      <c r="B13">
        <v>50</v>
      </c>
      <c r="C13" t="s">
        <v>26</v>
      </c>
      <c r="D13">
        <v>6.3625999999999996</v>
      </c>
      <c r="E13">
        <v>15.72</v>
      </c>
      <c r="F13">
        <v>13.19</v>
      </c>
      <c r="G13">
        <v>35.979999999999997</v>
      </c>
      <c r="H13">
        <v>0.6</v>
      </c>
      <c r="I13">
        <v>22</v>
      </c>
      <c r="J13">
        <v>110.91</v>
      </c>
      <c r="K13">
        <v>41.65</v>
      </c>
      <c r="L13">
        <v>3.75</v>
      </c>
      <c r="M13">
        <v>5</v>
      </c>
      <c r="N13">
        <v>15.51</v>
      </c>
      <c r="O13">
        <v>13913.15</v>
      </c>
      <c r="P13">
        <v>99.28</v>
      </c>
      <c r="Q13">
        <v>988.15</v>
      </c>
      <c r="R13">
        <v>50.64</v>
      </c>
      <c r="S13">
        <v>35.43</v>
      </c>
      <c r="T13">
        <v>6519.6</v>
      </c>
      <c r="U13">
        <v>0.7</v>
      </c>
      <c r="V13">
        <v>0.86</v>
      </c>
      <c r="W13">
        <v>3.02</v>
      </c>
      <c r="X13">
        <v>0.44</v>
      </c>
      <c r="Y13">
        <v>1</v>
      </c>
      <c r="Z13">
        <v>10</v>
      </c>
    </row>
    <row r="14" spans="1:26" x14ac:dyDescent="0.3">
      <c r="A14">
        <v>12</v>
      </c>
      <c r="B14">
        <v>50</v>
      </c>
      <c r="C14" t="s">
        <v>26</v>
      </c>
      <c r="D14">
        <v>6.3808999999999996</v>
      </c>
      <c r="E14">
        <v>15.67</v>
      </c>
      <c r="F14">
        <v>13.17</v>
      </c>
      <c r="G14">
        <v>37.630000000000003</v>
      </c>
      <c r="H14">
        <v>0.63</v>
      </c>
      <c r="I14">
        <v>21</v>
      </c>
      <c r="J14">
        <v>111.23</v>
      </c>
      <c r="K14">
        <v>41.65</v>
      </c>
      <c r="L14">
        <v>4</v>
      </c>
      <c r="M14">
        <v>1</v>
      </c>
      <c r="N14">
        <v>15.58</v>
      </c>
      <c r="O14">
        <v>13952.52</v>
      </c>
      <c r="P14">
        <v>99.3</v>
      </c>
      <c r="Q14">
        <v>988.19</v>
      </c>
      <c r="R14">
        <v>50.03</v>
      </c>
      <c r="S14">
        <v>35.43</v>
      </c>
      <c r="T14">
        <v>6221.55</v>
      </c>
      <c r="U14">
        <v>0.71</v>
      </c>
      <c r="V14">
        <v>0.87</v>
      </c>
      <c r="W14">
        <v>3.02</v>
      </c>
      <c r="X14">
        <v>0.41</v>
      </c>
      <c r="Y14">
        <v>1</v>
      </c>
      <c r="Z14">
        <v>10</v>
      </c>
    </row>
    <row r="15" spans="1:26" x14ac:dyDescent="0.3">
      <c r="A15">
        <v>13</v>
      </c>
      <c r="B15">
        <v>50</v>
      </c>
      <c r="C15" t="s">
        <v>26</v>
      </c>
      <c r="D15">
        <v>6.3806000000000003</v>
      </c>
      <c r="E15">
        <v>15.67</v>
      </c>
      <c r="F15">
        <v>13.17</v>
      </c>
      <c r="G15">
        <v>37.630000000000003</v>
      </c>
      <c r="H15">
        <v>0.67</v>
      </c>
      <c r="I15">
        <v>21</v>
      </c>
      <c r="J15">
        <v>111.55</v>
      </c>
      <c r="K15">
        <v>41.65</v>
      </c>
      <c r="L15">
        <v>4.25</v>
      </c>
      <c r="M15">
        <v>0</v>
      </c>
      <c r="N15">
        <v>15.65</v>
      </c>
      <c r="O15">
        <v>13991.91</v>
      </c>
      <c r="P15">
        <v>99.49</v>
      </c>
      <c r="Q15">
        <v>988.23</v>
      </c>
      <c r="R15">
        <v>49.98</v>
      </c>
      <c r="S15">
        <v>35.43</v>
      </c>
      <c r="T15">
        <v>6196.77</v>
      </c>
      <c r="U15">
        <v>0.71</v>
      </c>
      <c r="V15">
        <v>0.87</v>
      </c>
      <c r="W15">
        <v>3.02</v>
      </c>
      <c r="X15">
        <v>0.42</v>
      </c>
      <c r="Y15">
        <v>1</v>
      </c>
      <c r="Z1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ilha20"/>
  <dimension ref="A1:Z5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25</v>
      </c>
      <c r="C2" t="s">
        <v>26</v>
      </c>
      <c r="D2">
        <v>6.0580999999999996</v>
      </c>
      <c r="E2">
        <v>16.510000000000002</v>
      </c>
      <c r="F2">
        <v>13.91</v>
      </c>
      <c r="G2">
        <v>14.39</v>
      </c>
      <c r="H2">
        <v>0.28000000000000003</v>
      </c>
      <c r="I2">
        <v>58</v>
      </c>
      <c r="J2">
        <v>61.76</v>
      </c>
      <c r="K2">
        <v>28.92</v>
      </c>
      <c r="L2">
        <v>1</v>
      </c>
      <c r="M2">
        <v>56</v>
      </c>
      <c r="N2">
        <v>6.84</v>
      </c>
      <c r="O2">
        <v>7851.41</v>
      </c>
      <c r="P2">
        <v>78.69</v>
      </c>
      <c r="Q2">
        <v>988.22</v>
      </c>
      <c r="R2">
        <v>73.59</v>
      </c>
      <c r="S2">
        <v>35.43</v>
      </c>
      <c r="T2">
        <v>17815.61</v>
      </c>
      <c r="U2">
        <v>0.48</v>
      </c>
      <c r="V2">
        <v>0.82</v>
      </c>
      <c r="W2">
        <v>3.06</v>
      </c>
      <c r="X2">
        <v>1.1499999999999999</v>
      </c>
      <c r="Y2">
        <v>1</v>
      </c>
      <c r="Z2">
        <v>10</v>
      </c>
    </row>
    <row r="3" spans="1:26" x14ac:dyDescent="0.3">
      <c r="A3">
        <v>1</v>
      </c>
      <c r="B3">
        <v>25</v>
      </c>
      <c r="C3" t="s">
        <v>26</v>
      </c>
      <c r="D3">
        <v>6.2337999999999996</v>
      </c>
      <c r="E3">
        <v>16.04</v>
      </c>
      <c r="F3">
        <v>13.63</v>
      </c>
      <c r="G3">
        <v>18.59</v>
      </c>
      <c r="H3">
        <v>0.35</v>
      </c>
      <c r="I3">
        <v>44</v>
      </c>
      <c r="J3">
        <v>62.05</v>
      </c>
      <c r="K3">
        <v>28.92</v>
      </c>
      <c r="L3">
        <v>1.25</v>
      </c>
      <c r="M3">
        <v>28</v>
      </c>
      <c r="N3">
        <v>6.88</v>
      </c>
      <c r="O3">
        <v>7887.12</v>
      </c>
      <c r="P3">
        <v>73.489999999999995</v>
      </c>
      <c r="Q3">
        <v>988.22</v>
      </c>
      <c r="R3">
        <v>64.459999999999994</v>
      </c>
      <c r="S3">
        <v>35.43</v>
      </c>
      <c r="T3">
        <v>13320.04</v>
      </c>
      <c r="U3">
        <v>0.55000000000000004</v>
      </c>
      <c r="V3">
        <v>0.84</v>
      </c>
      <c r="W3">
        <v>3.06</v>
      </c>
      <c r="X3">
        <v>0.88</v>
      </c>
      <c r="Y3">
        <v>1</v>
      </c>
      <c r="Z3">
        <v>10</v>
      </c>
    </row>
    <row r="4" spans="1:26" x14ac:dyDescent="0.3">
      <c r="A4">
        <v>2</v>
      </c>
      <c r="B4">
        <v>25</v>
      </c>
      <c r="C4" t="s">
        <v>26</v>
      </c>
      <c r="D4">
        <v>6.2664999999999997</v>
      </c>
      <c r="E4">
        <v>15.96</v>
      </c>
      <c r="F4">
        <v>13.59</v>
      </c>
      <c r="G4">
        <v>19.89</v>
      </c>
      <c r="H4">
        <v>0.42</v>
      </c>
      <c r="I4">
        <v>41</v>
      </c>
      <c r="J4">
        <v>62.34</v>
      </c>
      <c r="K4">
        <v>28.92</v>
      </c>
      <c r="L4">
        <v>1.5</v>
      </c>
      <c r="M4">
        <v>4</v>
      </c>
      <c r="N4">
        <v>6.92</v>
      </c>
      <c r="O4">
        <v>7922.85</v>
      </c>
      <c r="P4">
        <v>72.48</v>
      </c>
      <c r="Q4">
        <v>988.29</v>
      </c>
      <c r="R4">
        <v>62.47</v>
      </c>
      <c r="S4">
        <v>35.43</v>
      </c>
      <c r="T4">
        <v>12342.88</v>
      </c>
      <c r="U4">
        <v>0.56999999999999995</v>
      </c>
      <c r="V4">
        <v>0.84</v>
      </c>
      <c r="W4">
        <v>3.07</v>
      </c>
      <c r="X4">
        <v>0.84</v>
      </c>
      <c r="Y4">
        <v>1</v>
      </c>
      <c r="Z4">
        <v>10</v>
      </c>
    </row>
    <row r="5" spans="1:26" x14ac:dyDescent="0.3">
      <c r="A5">
        <v>3</v>
      </c>
      <c r="B5">
        <v>25</v>
      </c>
      <c r="C5" t="s">
        <v>26</v>
      </c>
      <c r="D5">
        <v>6.2640000000000002</v>
      </c>
      <c r="E5">
        <v>15.96</v>
      </c>
      <c r="F5">
        <v>13.6</v>
      </c>
      <c r="G5">
        <v>19.899999999999999</v>
      </c>
      <c r="H5">
        <v>0.49</v>
      </c>
      <c r="I5">
        <v>41</v>
      </c>
      <c r="J5">
        <v>62.63</v>
      </c>
      <c r="K5">
        <v>28.92</v>
      </c>
      <c r="L5">
        <v>1.75</v>
      </c>
      <c r="M5">
        <v>0</v>
      </c>
      <c r="N5">
        <v>6.96</v>
      </c>
      <c r="O5">
        <v>7958.6</v>
      </c>
      <c r="P5">
        <v>72.87</v>
      </c>
      <c r="Q5">
        <v>988.42</v>
      </c>
      <c r="R5">
        <v>62.36</v>
      </c>
      <c r="S5">
        <v>35.43</v>
      </c>
      <c r="T5">
        <v>12287.45</v>
      </c>
      <c r="U5">
        <v>0.56999999999999995</v>
      </c>
      <c r="V5">
        <v>0.84</v>
      </c>
      <c r="W5">
        <v>3.08</v>
      </c>
      <c r="X5">
        <v>0.84</v>
      </c>
      <c r="Y5">
        <v>1</v>
      </c>
      <c r="Z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ilha21"/>
  <dimension ref="A1:Z32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85</v>
      </c>
      <c r="C2" t="s">
        <v>26</v>
      </c>
      <c r="D2">
        <v>4.3773</v>
      </c>
      <c r="E2">
        <v>22.85</v>
      </c>
      <c r="F2">
        <v>15.66</v>
      </c>
      <c r="G2">
        <v>6.62</v>
      </c>
      <c r="H2">
        <v>0.11</v>
      </c>
      <c r="I2">
        <v>142</v>
      </c>
      <c r="J2">
        <v>167.88</v>
      </c>
      <c r="K2">
        <v>51.39</v>
      </c>
      <c r="L2">
        <v>1</v>
      </c>
      <c r="M2">
        <v>140</v>
      </c>
      <c r="N2">
        <v>30.49</v>
      </c>
      <c r="O2">
        <v>20939.59</v>
      </c>
      <c r="P2">
        <v>196.86</v>
      </c>
      <c r="Q2">
        <v>988.44</v>
      </c>
      <c r="R2">
        <v>127.81</v>
      </c>
      <c r="S2">
        <v>35.43</v>
      </c>
      <c r="T2">
        <v>44506.32</v>
      </c>
      <c r="U2">
        <v>0.28000000000000003</v>
      </c>
      <c r="V2">
        <v>0.73</v>
      </c>
      <c r="W2">
        <v>3.21</v>
      </c>
      <c r="X2">
        <v>2.9</v>
      </c>
      <c r="Y2">
        <v>1</v>
      </c>
      <c r="Z2">
        <v>10</v>
      </c>
    </row>
    <row r="3" spans="1:26" x14ac:dyDescent="0.3">
      <c r="A3">
        <v>1</v>
      </c>
      <c r="B3">
        <v>85</v>
      </c>
      <c r="C3" t="s">
        <v>26</v>
      </c>
      <c r="D3">
        <v>4.7660999999999998</v>
      </c>
      <c r="E3">
        <v>20.98</v>
      </c>
      <c r="F3">
        <v>14.95</v>
      </c>
      <c r="G3">
        <v>8.3000000000000007</v>
      </c>
      <c r="H3">
        <v>0.13</v>
      </c>
      <c r="I3">
        <v>108</v>
      </c>
      <c r="J3">
        <v>168.25</v>
      </c>
      <c r="K3">
        <v>51.39</v>
      </c>
      <c r="L3">
        <v>1.25</v>
      </c>
      <c r="M3">
        <v>106</v>
      </c>
      <c r="N3">
        <v>30.6</v>
      </c>
      <c r="O3">
        <v>20984.25</v>
      </c>
      <c r="P3">
        <v>186.7</v>
      </c>
      <c r="Q3">
        <v>988.6</v>
      </c>
      <c r="R3">
        <v>105.51</v>
      </c>
      <c r="S3">
        <v>35.43</v>
      </c>
      <c r="T3">
        <v>33526.239999999998</v>
      </c>
      <c r="U3">
        <v>0.34</v>
      </c>
      <c r="V3">
        <v>0.76</v>
      </c>
      <c r="W3">
        <v>3.16</v>
      </c>
      <c r="X3">
        <v>2.19</v>
      </c>
      <c r="Y3">
        <v>1</v>
      </c>
      <c r="Z3">
        <v>10</v>
      </c>
    </row>
    <row r="4" spans="1:26" x14ac:dyDescent="0.3">
      <c r="A4">
        <v>2</v>
      </c>
      <c r="B4">
        <v>85</v>
      </c>
      <c r="C4" t="s">
        <v>26</v>
      </c>
      <c r="D4">
        <v>5.0465999999999998</v>
      </c>
      <c r="E4">
        <v>19.82</v>
      </c>
      <c r="F4">
        <v>14.49</v>
      </c>
      <c r="G4">
        <v>10</v>
      </c>
      <c r="H4">
        <v>0.16</v>
      </c>
      <c r="I4">
        <v>87</v>
      </c>
      <c r="J4">
        <v>168.61</v>
      </c>
      <c r="K4">
        <v>51.39</v>
      </c>
      <c r="L4">
        <v>1.5</v>
      </c>
      <c r="M4">
        <v>85</v>
      </c>
      <c r="N4">
        <v>30.71</v>
      </c>
      <c r="O4">
        <v>21028.94</v>
      </c>
      <c r="P4">
        <v>179.85</v>
      </c>
      <c r="Q4">
        <v>988.2</v>
      </c>
      <c r="R4">
        <v>92.07</v>
      </c>
      <c r="S4">
        <v>35.43</v>
      </c>
      <c r="T4">
        <v>26912.9</v>
      </c>
      <c r="U4">
        <v>0.38</v>
      </c>
      <c r="V4">
        <v>0.79</v>
      </c>
      <c r="W4">
        <v>3.1</v>
      </c>
      <c r="X4">
        <v>1.74</v>
      </c>
      <c r="Y4">
        <v>1</v>
      </c>
      <c r="Z4">
        <v>10</v>
      </c>
    </row>
    <row r="5" spans="1:26" x14ac:dyDescent="0.3">
      <c r="A5">
        <v>3</v>
      </c>
      <c r="B5">
        <v>85</v>
      </c>
      <c r="C5" t="s">
        <v>26</v>
      </c>
      <c r="D5">
        <v>5.2481999999999998</v>
      </c>
      <c r="E5">
        <v>19.05</v>
      </c>
      <c r="F5">
        <v>14.21</v>
      </c>
      <c r="G5">
        <v>11.68</v>
      </c>
      <c r="H5">
        <v>0.18</v>
      </c>
      <c r="I5">
        <v>73</v>
      </c>
      <c r="J5">
        <v>168.97</v>
      </c>
      <c r="K5">
        <v>51.39</v>
      </c>
      <c r="L5">
        <v>1.75</v>
      </c>
      <c r="M5">
        <v>71</v>
      </c>
      <c r="N5">
        <v>30.83</v>
      </c>
      <c r="O5">
        <v>21073.68</v>
      </c>
      <c r="P5">
        <v>175.14</v>
      </c>
      <c r="Q5">
        <v>988.27</v>
      </c>
      <c r="R5">
        <v>82.73</v>
      </c>
      <c r="S5">
        <v>35.43</v>
      </c>
      <c r="T5">
        <v>22310.74</v>
      </c>
      <c r="U5">
        <v>0.43</v>
      </c>
      <c r="V5">
        <v>0.8</v>
      </c>
      <c r="W5">
        <v>3.09</v>
      </c>
      <c r="X5">
        <v>1.45</v>
      </c>
      <c r="Y5">
        <v>1</v>
      </c>
      <c r="Z5">
        <v>10</v>
      </c>
    </row>
    <row r="6" spans="1:26" x14ac:dyDescent="0.3">
      <c r="A6">
        <v>4</v>
      </c>
      <c r="B6">
        <v>85</v>
      </c>
      <c r="C6" t="s">
        <v>26</v>
      </c>
      <c r="D6">
        <v>5.4013999999999998</v>
      </c>
      <c r="E6">
        <v>18.510000000000002</v>
      </c>
      <c r="F6">
        <v>14.01</v>
      </c>
      <c r="G6">
        <v>13.34</v>
      </c>
      <c r="H6">
        <v>0.21</v>
      </c>
      <c r="I6">
        <v>63</v>
      </c>
      <c r="J6">
        <v>169.33</v>
      </c>
      <c r="K6">
        <v>51.39</v>
      </c>
      <c r="L6">
        <v>2</v>
      </c>
      <c r="M6">
        <v>61</v>
      </c>
      <c r="N6">
        <v>30.94</v>
      </c>
      <c r="O6">
        <v>21118.46</v>
      </c>
      <c r="P6">
        <v>171.45</v>
      </c>
      <c r="Q6">
        <v>988.29</v>
      </c>
      <c r="R6">
        <v>76.56</v>
      </c>
      <c r="S6">
        <v>35.43</v>
      </c>
      <c r="T6">
        <v>19277.669999999998</v>
      </c>
      <c r="U6">
        <v>0.46</v>
      </c>
      <c r="V6">
        <v>0.81</v>
      </c>
      <c r="W6">
        <v>3.07</v>
      </c>
      <c r="X6">
        <v>1.25</v>
      </c>
      <c r="Y6">
        <v>1</v>
      </c>
      <c r="Z6">
        <v>10</v>
      </c>
    </row>
    <row r="7" spans="1:26" x14ac:dyDescent="0.3">
      <c r="A7">
        <v>5</v>
      </c>
      <c r="B7">
        <v>85</v>
      </c>
      <c r="C7" t="s">
        <v>26</v>
      </c>
      <c r="D7">
        <v>5.5328999999999997</v>
      </c>
      <c r="E7">
        <v>18.07</v>
      </c>
      <c r="F7">
        <v>13.84</v>
      </c>
      <c r="G7">
        <v>15.1</v>
      </c>
      <c r="H7">
        <v>0.24</v>
      </c>
      <c r="I7">
        <v>55</v>
      </c>
      <c r="J7">
        <v>169.7</v>
      </c>
      <c r="K7">
        <v>51.39</v>
      </c>
      <c r="L7">
        <v>2.25</v>
      </c>
      <c r="M7">
        <v>53</v>
      </c>
      <c r="N7">
        <v>31.05</v>
      </c>
      <c r="O7">
        <v>21163.27</v>
      </c>
      <c r="P7">
        <v>168.27</v>
      </c>
      <c r="Q7">
        <v>988.22</v>
      </c>
      <c r="R7">
        <v>71.430000000000007</v>
      </c>
      <c r="S7">
        <v>35.43</v>
      </c>
      <c r="T7">
        <v>16749.96</v>
      </c>
      <c r="U7">
        <v>0.5</v>
      </c>
      <c r="V7">
        <v>0.82</v>
      </c>
      <c r="W7">
        <v>3.06</v>
      </c>
      <c r="X7">
        <v>1.08</v>
      </c>
      <c r="Y7">
        <v>1</v>
      </c>
      <c r="Z7">
        <v>10</v>
      </c>
    </row>
    <row r="8" spans="1:26" x14ac:dyDescent="0.3">
      <c r="A8">
        <v>6</v>
      </c>
      <c r="B8">
        <v>85</v>
      </c>
      <c r="C8" t="s">
        <v>26</v>
      </c>
      <c r="D8">
        <v>5.6356999999999999</v>
      </c>
      <c r="E8">
        <v>17.739999999999998</v>
      </c>
      <c r="F8">
        <v>13.71</v>
      </c>
      <c r="G8">
        <v>16.79</v>
      </c>
      <c r="H8">
        <v>0.26</v>
      </c>
      <c r="I8">
        <v>49</v>
      </c>
      <c r="J8">
        <v>170.06</v>
      </c>
      <c r="K8">
        <v>51.39</v>
      </c>
      <c r="L8">
        <v>2.5</v>
      </c>
      <c r="M8">
        <v>47</v>
      </c>
      <c r="N8">
        <v>31.17</v>
      </c>
      <c r="O8">
        <v>21208.12</v>
      </c>
      <c r="P8">
        <v>165.5</v>
      </c>
      <c r="Q8">
        <v>988.27</v>
      </c>
      <c r="R8">
        <v>67.53</v>
      </c>
      <c r="S8">
        <v>35.43</v>
      </c>
      <c r="T8">
        <v>14830.14</v>
      </c>
      <c r="U8">
        <v>0.52</v>
      </c>
      <c r="V8">
        <v>0.83</v>
      </c>
      <c r="W8">
        <v>3.04</v>
      </c>
      <c r="X8">
        <v>0.96</v>
      </c>
      <c r="Y8">
        <v>1</v>
      </c>
      <c r="Z8">
        <v>10</v>
      </c>
    </row>
    <row r="9" spans="1:26" x14ac:dyDescent="0.3">
      <c r="A9">
        <v>7</v>
      </c>
      <c r="B9">
        <v>85</v>
      </c>
      <c r="C9" t="s">
        <v>26</v>
      </c>
      <c r="D9">
        <v>5.7172000000000001</v>
      </c>
      <c r="E9">
        <v>17.489999999999998</v>
      </c>
      <c r="F9">
        <v>13.63</v>
      </c>
      <c r="G9">
        <v>18.579999999999998</v>
      </c>
      <c r="H9">
        <v>0.28999999999999998</v>
      </c>
      <c r="I9">
        <v>44</v>
      </c>
      <c r="J9">
        <v>170.42</v>
      </c>
      <c r="K9">
        <v>51.39</v>
      </c>
      <c r="L9">
        <v>2.75</v>
      </c>
      <c r="M9">
        <v>42</v>
      </c>
      <c r="N9">
        <v>31.28</v>
      </c>
      <c r="O9">
        <v>21253.01</v>
      </c>
      <c r="P9">
        <v>163.36000000000001</v>
      </c>
      <c r="Q9">
        <v>988.26</v>
      </c>
      <c r="R9">
        <v>65.02</v>
      </c>
      <c r="S9">
        <v>35.43</v>
      </c>
      <c r="T9">
        <v>13601.33</v>
      </c>
      <c r="U9">
        <v>0.54</v>
      </c>
      <c r="V9">
        <v>0.84</v>
      </c>
      <c r="W9">
        <v>3.03</v>
      </c>
      <c r="X9">
        <v>0.87</v>
      </c>
      <c r="Y9">
        <v>1</v>
      </c>
      <c r="Z9">
        <v>10</v>
      </c>
    </row>
    <row r="10" spans="1:26" x14ac:dyDescent="0.3">
      <c r="A10">
        <v>8</v>
      </c>
      <c r="B10">
        <v>85</v>
      </c>
      <c r="C10" t="s">
        <v>26</v>
      </c>
      <c r="D10">
        <v>5.7935999999999996</v>
      </c>
      <c r="E10">
        <v>17.260000000000002</v>
      </c>
      <c r="F10">
        <v>13.53</v>
      </c>
      <c r="G10">
        <v>20.3</v>
      </c>
      <c r="H10">
        <v>0.31</v>
      </c>
      <c r="I10">
        <v>40</v>
      </c>
      <c r="J10">
        <v>170.79</v>
      </c>
      <c r="K10">
        <v>51.39</v>
      </c>
      <c r="L10">
        <v>3</v>
      </c>
      <c r="M10">
        <v>38</v>
      </c>
      <c r="N10">
        <v>31.4</v>
      </c>
      <c r="O10">
        <v>21297.94</v>
      </c>
      <c r="P10">
        <v>160.91999999999999</v>
      </c>
      <c r="Q10">
        <v>988.35</v>
      </c>
      <c r="R10">
        <v>61.66</v>
      </c>
      <c r="S10">
        <v>35.43</v>
      </c>
      <c r="T10">
        <v>11939.13</v>
      </c>
      <c r="U10">
        <v>0.56999999999999995</v>
      </c>
      <c r="V10">
        <v>0.84</v>
      </c>
      <c r="W10">
        <v>3.03</v>
      </c>
      <c r="X10">
        <v>0.78</v>
      </c>
      <c r="Y10">
        <v>1</v>
      </c>
      <c r="Z10">
        <v>10</v>
      </c>
    </row>
    <row r="11" spans="1:26" x14ac:dyDescent="0.3">
      <c r="A11">
        <v>9</v>
      </c>
      <c r="B11">
        <v>85</v>
      </c>
      <c r="C11" t="s">
        <v>26</v>
      </c>
      <c r="D11">
        <v>5.8631000000000002</v>
      </c>
      <c r="E11">
        <v>17.059999999999999</v>
      </c>
      <c r="F11">
        <v>13.46</v>
      </c>
      <c r="G11">
        <v>22.44</v>
      </c>
      <c r="H11">
        <v>0.34</v>
      </c>
      <c r="I11">
        <v>36</v>
      </c>
      <c r="J11">
        <v>171.15</v>
      </c>
      <c r="K11">
        <v>51.39</v>
      </c>
      <c r="L11">
        <v>3.25</v>
      </c>
      <c r="M11">
        <v>34</v>
      </c>
      <c r="N11">
        <v>31.51</v>
      </c>
      <c r="O11">
        <v>21342.91</v>
      </c>
      <c r="P11">
        <v>158.69</v>
      </c>
      <c r="Q11">
        <v>988.23</v>
      </c>
      <c r="R11">
        <v>59.74</v>
      </c>
      <c r="S11">
        <v>35.43</v>
      </c>
      <c r="T11">
        <v>11002.67</v>
      </c>
      <c r="U11">
        <v>0.59</v>
      </c>
      <c r="V11">
        <v>0.85</v>
      </c>
      <c r="W11">
        <v>3.03</v>
      </c>
      <c r="X11">
        <v>0.71</v>
      </c>
      <c r="Y11">
        <v>1</v>
      </c>
      <c r="Z11">
        <v>10</v>
      </c>
    </row>
    <row r="12" spans="1:26" x14ac:dyDescent="0.3">
      <c r="A12">
        <v>10</v>
      </c>
      <c r="B12">
        <v>85</v>
      </c>
      <c r="C12" t="s">
        <v>26</v>
      </c>
      <c r="D12">
        <v>5.9215999999999998</v>
      </c>
      <c r="E12">
        <v>16.89</v>
      </c>
      <c r="F12">
        <v>13.4</v>
      </c>
      <c r="G12">
        <v>24.36</v>
      </c>
      <c r="H12">
        <v>0.36</v>
      </c>
      <c r="I12">
        <v>33</v>
      </c>
      <c r="J12">
        <v>171.52</v>
      </c>
      <c r="K12">
        <v>51.39</v>
      </c>
      <c r="L12">
        <v>3.5</v>
      </c>
      <c r="M12">
        <v>31</v>
      </c>
      <c r="N12">
        <v>31.63</v>
      </c>
      <c r="O12">
        <v>21387.919999999998</v>
      </c>
      <c r="P12">
        <v>156.49</v>
      </c>
      <c r="Q12">
        <v>988.14</v>
      </c>
      <c r="R12">
        <v>57.53</v>
      </c>
      <c r="S12">
        <v>35.43</v>
      </c>
      <c r="T12">
        <v>9912.86</v>
      </c>
      <c r="U12">
        <v>0.62</v>
      </c>
      <c r="V12">
        <v>0.85</v>
      </c>
      <c r="W12">
        <v>3.02</v>
      </c>
      <c r="X12">
        <v>0.64</v>
      </c>
      <c r="Y12">
        <v>1</v>
      </c>
      <c r="Z12">
        <v>10</v>
      </c>
    </row>
    <row r="13" spans="1:26" x14ac:dyDescent="0.3">
      <c r="A13">
        <v>11</v>
      </c>
      <c r="B13">
        <v>85</v>
      </c>
      <c r="C13" t="s">
        <v>26</v>
      </c>
      <c r="D13">
        <v>5.9570999999999996</v>
      </c>
      <c r="E13">
        <v>16.79</v>
      </c>
      <c r="F13">
        <v>13.36</v>
      </c>
      <c r="G13">
        <v>25.87</v>
      </c>
      <c r="H13">
        <v>0.39</v>
      </c>
      <c r="I13">
        <v>31</v>
      </c>
      <c r="J13">
        <v>171.88</v>
      </c>
      <c r="K13">
        <v>51.39</v>
      </c>
      <c r="L13">
        <v>3.75</v>
      </c>
      <c r="M13">
        <v>29</v>
      </c>
      <c r="N13">
        <v>31.74</v>
      </c>
      <c r="O13">
        <v>21432.959999999999</v>
      </c>
      <c r="P13">
        <v>155.4</v>
      </c>
      <c r="Q13">
        <v>988.19</v>
      </c>
      <c r="R13">
        <v>56.73</v>
      </c>
      <c r="S13">
        <v>35.43</v>
      </c>
      <c r="T13">
        <v>9519.86</v>
      </c>
      <c r="U13">
        <v>0.62</v>
      </c>
      <c r="V13">
        <v>0.85</v>
      </c>
      <c r="W13">
        <v>3.01</v>
      </c>
      <c r="X13">
        <v>0.61</v>
      </c>
      <c r="Y13">
        <v>1</v>
      </c>
      <c r="Z13">
        <v>10</v>
      </c>
    </row>
    <row r="14" spans="1:26" x14ac:dyDescent="0.3">
      <c r="A14">
        <v>12</v>
      </c>
      <c r="B14">
        <v>85</v>
      </c>
      <c r="C14" t="s">
        <v>26</v>
      </c>
      <c r="D14">
        <v>5.9974999999999996</v>
      </c>
      <c r="E14">
        <v>16.670000000000002</v>
      </c>
      <c r="F14">
        <v>13.32</v>
      </c>
      <c r="G14">
        <v>27.56</v>
      </c>
      <c r="H14">
        <v>0.41</v>
      </c>
      <c r="I14">
        <v>29</v>
      </c>
      <c r="J14">
        <v>172.25</v>
      </c>
      <c r="K14">
        <v>51.39</v>
      </c>
      <c r="L14">
        <v>4</v>
      </c>
      <c r="M14">
        <v>27</v>
      </c>
      <c r="N14">
        <v>31.86</v>
      </c>
      <c r="O14">
        <v>21478.05</v>
      </c>
      <c r="P14">
        <v>153.63999999999999</v>
      </c>
      <c r="Q14">
        <v>988.22</v>
      </c>
      <c r="R14">
        <v>55.32</v>
      </c>
      <c r="S14">
        <v>35.43</v>
      </c>
      <c r="T14">
        <v>8827.6200000000008</v>
      </c>
      <c r="U14">
        <v>0.64</v>
      </c>
      <c r="V14">
        <v>0.86</v>
      </c>
      <c r="W14">
        <v>3.01</v>
      </c>
      <c r="X14">
        <v>0.56000000000000005</v>
      </c>
      <c r="Y14">
        <v>1</v>
      </c>
      <c r="Z14">
        <v>10</v>
      </c>
    </row>
    <row r="15" spans="1:26" x14ac:dyDescent="0.3">
      <c r="A15">
        <v>13</v>
      </c>
      <c r="B15">
        <v>85</v>
      </c>
      <c r="C15" t="s">
        <v>26</v>
      </c>
      <c r="D15">
        <v>6.0366</v>
      </c>
      <c r="E15">
        <v>16.57</v>
      </c>
      <c r="F15">
        <v>13.28</v>
      </c>
      <c r="G15">
        <v>29.51</v>
      </c>
      <c r="H15">
        <v>0.44</v>
      </c>
      <c r="I15">
        <v>27</v>
      </c>
      <c r="J15">
        <v>172.61</v>
      </c>
      <c r="K15">
        <v>51.39</v>
      </c>
      <c r="L15">
        <v>4.25</v>
      </c>
      <c r="M15">
        <v>25</v>
      </c>
      <c r="N15">
        <v>31.97</v>
      </c>
      <c r="O15">
        <v>21523.17</v>
      </c>
      <c r="P15">
        <v>151.72</v>
      </c>
      <c r="Q15">
        <v>988.3</v>
      </c>
      <c r="R15">
        <v>53.89</v>
      </c>
      <c r="S15">
        <v>35.43</v>
      </c>
      <c r="T15">
        <v>8120.16</v>
      </c>
      <c r="U15">
        <v>0.66</v>
      </c>
      <c r="V15">
        <v>0.86</v>
      </c>
      <c r="W15">
        <v>3.01</v>
      </c>
      <c r="X15">
        <v>0.52</v>
      </c>
      <c r="Y15">
        <v>1</v>
      </c>
      <c r="Z15">
        <v>10</v>
      </c>
    </row>
    <row r="16" spans="1:26" x14ac:dyDescent="0.3">
      <c r="A16">
        <v>14</v>
      </c>
      <c r="B16">
        <v>85</v>
      </c>
      <c r="C16" t="s">
        <v>26</v>
      </c>
      <c r="D16">
        <v>6.0766999999999998</v>
      </c>
      <c r="E16">
        <v>16.46</v>
      </c>
      <c r="F16">
        <v>13.24</v>
      </c>
      <c r="G16">
        <v>31.77</v>
      </c>
      <c r="H16">
        <v>0.46</v>
      </c>
      <c r="I16">
        <v>25</v>
      </c>
      <c r="J16">
        <v>172.98</v>
      </c>
      <c r="K16">
        <v>51.39</v>
      </c>
      <c r="L16">
        <v>4.5</v>
      </c>
      <c r="M16">
        <v>23</v>
      </c>
      <c r="N16">
        <v>32.090000000000003</v>
      </c>
      <c r="O16">
        <v>21568.34</v>
      </c>
      <c r="P16">
        <v>149.97999999999999</v>
      </c>
      <c r="Q16">
        <v>988.28</v>
      </c>
      <c r="R16">
        <v>52.86</v>
      </c>
      <c r="S16">
        <v>35.43</v>
      </c>
      <c r="T16">
        <v>7614.07</v>
      </c>
      <c r="U16">
        <v>0.67</v>
      </c>
      <c r="V16">
        <v>0.86</v>
      </c>
      <c r="W16">
        <v>3</v>
      </c>
      <c r="X16">
        <v>0.48</v>
      </c>
      <c r="Y16">
        <v>1</v>
      </c>
      <c r="Z16">
        <v>10</v>
      </c>
    </row>
    <row r="17" spans="1:26" x14ac:dyDescent="0.3">
      <c r="A17">
        <v>15</v>
      </c>
      <c r="B17">
        <v>85</v>
      </c>
      <c r="C17" t="s">
        <v>26</v>
      </c>
      <c r="D17">
        <v>6.1048999999999998</v>
      </c>
      <c r="E17">
        <v>16.38</v>
      </c>
      <c r="F17">
        <v>13.19</v>
      </c>
      <c r="G17">
        <v>32.99</v>
      </c>
      <c r="H17">
        <v>0.49</v>
      </c>
      <c r="I17">
        <v>24</v>
      </c>
      <c r="J17">
        <v>173.35</v>
      </c>
      <c r="K17">
        <v>51.39</v>
      </c>
      <c r="L17">
        <v>4.75</v>
      </c>
      <c r="M17">
        <v>22</v>
      </c>
      <c r="N17">
        <v>32.200000000000003</v>
      </c>
      <c r="O17">
        <v>21613.54</v>
      </c>
      <c r="P17">
        <v>147.97999999999999</v>
      </c>
      <c r="Q17">
        <v>988.08</v>
      </c>
      <c r="R17">
        <v>51.46</v>
      </c>
      <c r="S17">
        <v>35.43</v>
      </c>
      <c r="T17">
        <v>6923.12</v>
      </c>
      <c r="U17">
        <v>0.69</v>
      </c>
      <c r="V17">
        <v>0.86</v>
      </c>
      <c r="W17">
        <v>3</v>
      </c>
      <c r="X17">
        <v>0.44</v>
      </c>
      <c r="Y17">
        <v>1</v>
      </c>
      <c r="Z17">
        <v>10</v>
      </c>
    </row>
    <row r="18" spans="1:26" x14ac:dyDescent="0.3">
      <c r="A18">
        <v>16</v>
      </c>
      <c r="B18">
        <v>85</v>
      </c>
      <c r="C18" t="s">
        <v>26</v>
      </c>
      <c r="D18">
        <v>6.1395</v>
      </c>
      <c r="E18">
        <v>16.29</v>
      </c>
      <c r="F18">
        <v>13.17</v>
      </c>
      <c r="G18">
        <v>35.92</v>
      </c>
      <c r="H18">
        <v>0.51</v>
      </c>
      <c r="I18">
        <v>22</v>
      </c>
      <c r="J18">
        <v>173.71</v>
      </c>
      <c r="K18">
        <v>51.39</v>
      </c>
      <c r="L18">
        <v>5</v>
      </c>
      <c r="M18">
        <v>20</v>
      </c>
      <c r="N18">
        <v>32.32</v>
      </c>
      <c r="O18">
        <v>21658.78</v>
      </c>
      <c r="P18">
        <v>146.63</v>
      </c>
      <c r="Q18">
        <v>988.18</v>
      </c>
      <c r="R18">
        <v>50.57</v>
      </c>
      <c r="S18">
        <v>35.43</v>
      </c>
      <c r="T18">
        <v>6486.78</v>
      </c>
      <c r="U18">
        <v>0.7</v>
      </c>
      <c r="V18">
        <v>0.87</v>
      </c>
      <c r="W18">
        <v>3</v>
      </c>
      <c r="X18">
        <v>0.42</v>
      </c>
      <c r="Y18">
        <v>1</v>
      </c>
      <c r="Z18">
        <v>10</v>
      </c>
    </row>
    <row r="19" spans="1:26" x14ac:dyDescent="0.3">
      <c r="A19">
        <v>17</v>
      </c>
      <c r="B19">
        <v>85</v>
      </c>
      <c r="C19" t="s">
        <v>26</v>
      </c>
      <c r="D19">
        <v>6.1577999999999999</v>
      </c>
      <c r="E19">
        <v>16.239999999999998</v>
      </c>
      <c r="F19">
        <v>13.16</v>
      </c>
      <c r="G19">
        <v>37.590000000000003</v>
      </c>
      <c r="H19">
        <v>0.53</v>
      </c>
      <c r="I19">
        <v>21</v>
      </c>
      <c r="J19">
        <v>174.08</v>
      </c>
      <c r="K19">
        <v>51.39</v>
      </c>
      <c r="L19">
        <v>5.25</v>
      </c>
      <c r="M19">
        <v>19</v>
      </c>
      <c r="N19">
        <v>32.44</v>
      </c>
      <c r="O19">
        <v>21704.07</v>
      </c>
      <c r="P19">
        <v>145.13999999999999</v>
      </c>
      <c r="Q19">
        <v>988.1</v>
      </c>
      <c r="R19">
        <v>50.21</v>
      </c>
      <c r="S19">
        <v>35.43</v>
      </c>
      <c r="T19">
        <v>6312.6</v>
      </c>
      <c r="U19">
        <v>0.71</v>
      </c>
      <c r="V19">
        <v>0.87</v>
      </c>
      <c r="W19">
        <v>3</v>
      </c>
      <c r="X19">
        <v>0.4</v>
      </c>
      <c r="Y19">
        <v>1</v>
      </c>
      <c r="Z19">
        <v>10</v>
      </c>
    </row>
    <row r="20" spans="1:26" x14ac:dyDescent="0.3">
      <c r="A20">
        <v>18</v>
      </c>
      <c r="B20">
        <v>85</v>
      </c>
      <c r="C20" t="s">
        <v>26</v>
      </c>
      <c r="D20">
        <v>6.1841999999999997</v>
      </c>
      <c r="E20">
        <v>16.170000000000002</v>
      </c>
      <c r="F20">
        <v>13.12</v>
      </c>
      <c r="G20">
        <v>39.36</v>
      </c>
      <c r="H20">
        <v>0.56000000000000005</v>
      </c>
      <c r="I20">
        <v>20</v>
      </c>
      <c r="J20">
        <v>174.45</v>
      </c>
      <c r="K20">
        <v>51.39</v>
      </c>
      <c r="L20">
        <v>5.5</v>
      </c>
      <c r="M20">
        <v>18</v>
      </c>
      <c r="N20">
        <v>32.56</v>
      </c>
      <c r="O20">
        <v>21749.39</v>
      </c>
      <c r="P20">
        <v>143.63999999999999</v>
      </c>
      <c r="Q20">
        <v>988.17</v>
      </c>
      <c r="R20">
        <v>49.2</v>
      </c>
      <c r="S20">
        <v>35.43</v>
      </c>
      <c r="T20">
        <v>5811.17</v>
      </c>
      <c r="U20">
        <v>0.72</v>
      </c>
      <c r="V20">
        <v>0.87</v>
      </c>
      <c r="W20">
        <v>2.99</v>
      </c>
      <c r="X20">
        <v>0.37</v>
      </c>
      <c r="Y20">
        <v>1</v>
      </c>
      <c r="Z20">
        <v>10</v>
      </c>
    </row>
    <row r="21" spans="1:26" x14ac:dyDescent="0.3">
      <c r="A21">
        <v>19</v>
      </c>
      <c r="B21">
        <v>85</v>
      </c>
      <c r="C21" t="s">
        <v>26</v>
      </c>
      <c r="D21">
        <v>6.2016</v>
      </c>
      <c r="E21">
        <v>16.12</v>
      </c>
      <c r="F21">
        <v>13.11</v>
      </c>
      <c r="G21">
        <v>41.4</v>
      </c>
      <c r="H21">
        <v>0.57999999999999996</v>
      </c>
      <c r="I21">
        <v>19</v>
      </c>
      <c r="J21">
        <v>174.82</v>
      </c>
      <c r="K21">
        <v>51.39</v>
      </c>
      <c r="L21">
        <v>5.75</v>
      </c>
      <c r="M21">
        <v>17</v>
      </c>
      <c r="N21">
        <v>32.67</v>
      </c>
      <c r="O21">
        <v>21794.75</v>
      </c>
      <c r="P21">
        <v>141.9</v>
      </c>
      <c r="Q21">
        <v>988.2</v>
      </c>
      <c r="R21">
        <v>48.74</v>
      </c>
      <c r="S21">
        <v>35.43</v>
      </c>
      <c r="T21">
        <v>5588.33</v>
      </c>
      <c r="U21">
        <v>0.73</v>
      </c>
      <c r="V21">
        <v>0.87</v>
      </c>
      <c r="W21">
        <v>3</v>
      </c>
      <c r="X21">
        <v>0.35</v>
      </c>
      <c r="Y21">
        <v>1</v>
      </c>
      <c r="Z21">
        <v>10</v>
      </c>
    </row>
    <row r="22" spans="1:26" x14ac:dyDescent="0.3">
      <c r="A22">
        <v>20</v>
      </c>
      <c r="B22">
        <v>85</v>
      </c>
      <c r="C22" t="s">
        <v>26</v>
      </c>
      <c r="D22">
        <v>6.218</v>
      </c>
      <c r="E22">
        <v>16.079999999999998</v>
      </c>
      <c r="F22">
        <v>13.1</v>
      </c>
      <c r="G22">
        <v>43.67</v>
      </c>
      <c r="H22">
        <v>0.61</v>
      </c>
      <c r="I22">
        <v>18</v>
      </c>
      <c r="J22">
        <v>175.18</v>
      </c>
      <c r="K22">
        <v>51.39</v>
      </c>
      <c r="L22">
        <v>6</v>
      </c>
      <c r="M22">
        <v>16</v>
      </c>
      <c r="N22">
        <v>32.79</v>
      </c>
      <c r="O22">
        <v>21840.16</v>
      </c>
      <c r="P22">
        <v>140.21</v>
      </c>
      <c r="Q22">
        <v>988.08</v>
      </c>
      <c r="R22">
        <v>48.26</v>
      </c>
      <c r="S22">
        <v>35.43</v>
      </c>
      <c r="T22">
        <v>5350.94</v>
      </c>
      <c r="U22">
        <v>0.73</v>
      </c>
      <c r="V22">
        <v>0.87</v>
      </c>
      <c r="W22">
        <v>3</v>
      </c>
      <c r="X22">
        <v>0.35</v>
      </c>
      <c r="Y22">
        <v>1</v>
      </c>
      <c r="Z22">
        <v>10</v>
      </c>
    </row>
    <row r="23" spans="1:26" x14ac:dyDescent="0.3">
      <c r="A23">
        <v>21</v>
      </c>
      <c r="B23">
        <v>85</v>
      </c>
      <c r="C23" t="s">
        <v>26</v>
      </c>
      <c r="D23">
        <v>6.2441000000000004</v>
      </c>
      <c r="E23">
        <v>16.02</v>
      </c>
      <c r="F23">
        <v>13.07</v>
      </c>
      <c r="G23">
        <v>46.12</v>
      </c>
      <c r="H23">
        <v>0.63</v>
      </c>
      <c r="I23">
        <v>17</v>
      </c>
      <c r="J23">
        <v>175.55</v>
      </c>
      <c r="K23">
        <v>51.39</v>
      </c>
      <c r="L23">
        <v>6.25</v>
      </c>
      <c r="M23">
        <v>15</v>
      </c>
      <c r="N23">
        <v>32.909999999999997</v>
      </c>
      <c r="O23">
        <v>21885.599999999999</v>
      </c>
      <c r="P23">
        <v>137.47999999999999</v>
      </c>
      <c r="Q23">
        <v>988.08</v>
      </c>
      <c r="R23">
        <v>47.53</v>
      </c>
      <c r="S23">
        <v>35.43</v>
      </c>
      <c r="T23">
        <v>4989.16</v>
      </c>
      <c r="U23">
        <v>0.75</v>
      </c>
      <c r="V23">
        <v>0.87</v>
      </c>
      <c r="W23">
        <v>2.99</v>
      </c>
      <c r="X23">
        <v>0.31</v>
      </c>
      <c r="Y23">
        <v>1</v>
      </c>
      <c r="Z23">
        <v>10</v>
      </c>
    </row>
    <row r="24" spans="1:26" x14ac:dyDescent="0.3">
      <c r="A24">
        <v>22</v>
      </c>
      <c r="B24">
        <v>85</v>
      </c>
      <c r="C24" t="s">
        <v>26</v>
      </c>
      <c r="D24">
        <v>6.2625000000000002</v>
      </c>
      <c r="E24">
        <v>15.97</v>
      </c>
      <c r="F24">
        <v>13.05</v>
      </c>
      <c r="G24">
        <v>48.95</v>
      </c>
      <c r="H24">
        <v>0.66</v>
      </c>
      <c r="I24">
        <v>16</v>
      </c>
      <c r="J24">
        <v>175.92</v>
      </c>
      <c r="K24">
        <v>51.39</v>
      </c>
      <c r="L24">
        <v>6.5</v>
      </c>
      <c r="M24">
        <v>14</v>
      </c>
      <c r="N24">
        <v>33.03</v>
      </c>
      <c r="O24">
        <v>21931.08</v>
      </c>
      <c r="P24">
        <v>136.32</v>
      </c>
      <c r="Q24">
        <v>988.13</v>
      </c>
      <c r="R24">
        <v>47.11</v>
      </c>
      <c r="S24">
        <v>35.43</v>
      </c>
      <c r="T24">
        <v>4787.57</v>
      </c>
      <c r="U24">
        <v>0.75</v>
      </c>
      <c r="V24">
        <v>0.87</v>
      </c>
      <c r="W24">
        <v>2.99</v>
      </c>
      <c r="X24">
        <v>0.3</v>
      </c>
      <c r="Y24">
        <v>1</v>
      </c>
      <c r="Z24">
        <v>10</v>
      </c>
    </row>
    <row r="25" spans="1:26" x14ac:dyDescent="0.3">
      <c r="A25">
        <v>23</v>
      </c>
      <c r="B25">
        <v>85</v>
      </c>
      <c r="C25" t="s">
        <v>26</v>
      </c>
      <c r="D25">
        <v>6.2601000000000004</v>
      </c>
      <c r="E25">
        <v>15.97</v>
      </c>
      <c r="F25">
        <v>13.06</v>
      </c>
      <c r="G25">
        <v>48.97</v>
      </c>
      <c r="H25">
        <v>0.68</v>
      </c>
      <c r="I25">
        <v>16</v>
      </c>
      <c r="J25">
        <v>176.29</v>
      </c>
      <c r="K25">
        <v>51.39</v>
      </c>
      <c r="L25">
        <v>6.75</v>
      </c>
      <c r="M25">
        <v>14</v>
      </c>
      <c r="N25">
        <v>33.15</v>
      </c>
      <c r="O25">
        <v>21976.61</v>
      </c>
      <c r="P25">
        <v>135.19999999999999</v>
      </c>
      <c r="Q25">
        <v>988.12</v>
      </c>
      <c r="R25">
        <v>47.35</v>
      </c>
      <c r="S25">
        <v>35.43</v>
      </c>
      <c r="T25">
        <v>4903.6000000000004</v>
      </c>
      <c r="U25">
        <v>0.75</v>
      </c>
      <c r="V25">
        <v>0.87</v>
      </c>
      <c r="W25">
        <v>2.99</v>
      </c>
      <c r="X25">
        <v>0.31</v>
      </c>
      <c r="Y25">
        <v>1</v>
      </c>
      <c r="Z25">
        <v>10</v>
      </c>
    </row>
    <row r="26" spans="1:26" x14ac:dyDescent="0.3">
      <c r="A26">
        <v>24</v>
      </c>
      <c r="B26">
        <v>85</v>
      </c>
      <c r="C26" t="s">
        <v>26</v>
      </c>
      <c r="D26">
        <v>6.2820999999999998</v>
      </c>
      <c r="E26">
        <v>15.92</v>
      </c>
      <c r="F26">
        <v>13.04</v>
      </c>
      <c r="G26">
        <v>52.15</v>
      </c>
      <c r="H26">
        <v>0.7</v>
      </c>
      <c r="I26">
        <v>15</v>
      </c>
      <c r="J26">
        <v>176.66</v>
      </c>
      <c r="K26">
        <v>51.39</v>
      </c>
      <c r="L26">
        <v>7</v>
      </c>
      <c r="M26">
        <v>13</v>
      </c>
      <c r="N26">
        <v>33.270000000000003</v>
      </c>
      <c r="O26">
        <v>22022.17</v>
      </c>
      <c r="P26">
        <v>133.19</v>
      </c>
      <c r="Q26">
        <v>988.08</v>
      </c>
      <c r="R26">
        <v>46.62</v>
      </c>
      <c r="S26">
        <v>35.43</v>
      </c>
      <c r="T26">
        <v>4547.2</v>
      </c>
      <c r="U26">
        <v>0.76</v>
      </c>
      <c r="V26">
        <v>0.87</v>
      </c>
      <c r="W26">
        <v>2.99</v>
      </c>
      <c r="X26">
        <v>0.28000000000000003</v>
      </c>
      <c r="Y26">
        <v>1</v>
      </c>
      <c r="Z26">
        <v>10</v>
      </c>
    </row>
    <row r="27" spans="1:26" x14ac:dyDescent="0.3">
      <c r="A27">
        <v>25</v>
      </c>
      <c r="B27">
        <v>85</v>
      </c>
      <c r="C27" t="s">
        <v>26</v>
      </c>
      <c r="D27">
        <v>6.3011999999999997</v>
      </c>
      <c r="E27">
        <v>15.87</v>
      </c>
      <c r="F27">
        <v>13.02</v>
      </c>
      <c r="G27">
        <v>55.81</v>
      </c>
      <c r="H27">
        <v>0.73</v>
      </c>
      <c r="I27">
        <v>14</v>
      </c>
      <c r="J27">
        <v>177.03</v>
      </c>
      <c r="K27">
        <v>51.39</v>
      </c>
      <c r="L27">
        <v>7.25</v>
      </c>
      <c r="M27">
        <v>10</v>
      </c>
      <c r="N27">
        <v>33.39</v>
      </c>
      <c r="O27">
        <v>22067.77</v>
      </c>
      <c r="P27">
        <v>131.38</v>
      </c>
      <c r="Q27">
        <v>988.09</v>
      </c>
      <c r="R27">
        <v>45.91</v>
      </c>
      <c r="S27">
        <v>35.43</v>
      </c>
      <c r="T27">
        <v>4197.6000000000004</v>
      </c>
      <c r="U27">
        <v>0.77</v>
      </c>
      <c r="V27">
        <v>0.88</v>
      </c>
      <c r="W27">
        <v>3</v>
      </c>
      <c r="X27">
        <v>0.27</v>
      </c>
      <c r="Y27">
        <v>1</v>
      </c>
      <c r="Z27">
        <v>10</v>
      </c>
    </row>
    <row r="28" spans="1:26" x14ac:dyDescent="0.3">
      <c r="A28">
        <v>26</v>
      </c>
      <c r="B28">
        <v>85</v>
      </c>
      <c r="C28" t="s">
        <v>26</v>
      </c>
      <c r="D28">
        <v>6.3079000000000001</v>
      </c>
      <c r="E28">
        <v>15.85</v>
      </c>
      <c r="F28">
        <v>13.01</v>
      </c>
      <c r="G28">
        <v>55.74</v>
      </c>
      <c r="H28">
        <v>0.75</v>
      </c>
      <c r="I28">
        <v>14</v>
      </c>
      <c r="J28">
        <v>177.4</v>
      </c>
      <c r="K28">
        <v>51.39</v>
      </c>
      <c r="L28">
        <v>7.5</v>
      </c>
      <c r="M28">
        <v>9</v>
      </c>
      <c r="N28">
        <v>33.51</v>
      </c>
      <c r="O28">
        <v>22113.42</v>
      </c>
      <c r="P28">
        <v>130.32</v>
      </c>
      <c r="Q28">
        <v>988.12</v>
      </c>
      <c r="R28">
        <v>45.56</v>
      </c>
      <c r="S28">
        <v>35.43</v>
      </c>
      <c r="T28">
        <v>4021.76</v>
      </c>
      <c r="U28">
        <v>0.78</v>
      </c>
      <c r="V28">
        <v>0.88</v>
      </c>
      <c r="W28">
        <v>2.99</v>
      </c>
      <c r="X28">
        <v>0.25</v>
      </c>
      <c r="Y28">
        <v>1</v>
      </c>
      <c r="Z28">
        <v>10</v>
      </c>
    </row>
    <row r="29" spans="1:26" x14ac:dyDescent="0.3">
      <c r="A29">
        <v>27</v>
      </c>
      <c r="B29">
        <v>85</v>
      </c>
      <c r="C29" t="s">
        <v>26</v>
      </c>
      <c r="D29">
        <v>6.3052999999999999</v>
      </c>
      <c r="E29">
        <v>15.86</v>
      </c>
      <c r="F29">
        <v>13.01</v>
      </c>
      <c r="G29">
        <v>55.77</v>
      </c>
      <c r="H29">
        <v>0.77</v>
      </c>
      <c r="I29">
        <v>14</v>
      </c>
      <c r="J29">
        <v>177.77</v>
      </c>
      <c r="K29">
        <v>51.39</v>
      </c>
      <c r="L29">
        <v>7.75</v>
      </c>
      <c r="M29">
        <v>7</v>
      </c>
      <c r="N29">
        <v>33.630000000000003</v>
      </c>
      <c r="O29">
        <v>22159.1</v>
      </c>
      <c r="P29">
        <v>128.93</v>
      </c>
      <c r="Q29">
        <v>988.12</v>
      </c>
      <c r="R29">
        <v>45.53</v>
      </c>
      <c r="S29">
        <v>35.43</v>
      </c>
      <c r="T29">
        <v>4007.64</v>
      </c>
      <c r="U29">
        <v>0.78</v>
      </c>
      <c r="V29">
        <v>0.88</v>
      </c>
      <c r="W29">
        <v>2.99</v>
      </c>
      <c r="X29">
        <v>0.26</v>
      </c>
      <c r="Y29">
        <v>1</v>
      </c>
      <c r="Z29">
        <v>10</v>
      </c>
    </row>
    <row r="30" spans="1:26" x14ac:dyDescent="0.3">
      <c r="A30">
        <v>28</v>
      </c>
      <c r="B30">
        <v>85</v>
      </c>
      <c r="C30" t="s">
        <v>26</v>
      </c>
      <c r="D30">
        <v>6.3247999999999998</v>
      </c>
      <c r="E30">
        <v>15.81</v>
      </c>
      <c r="F30">
        <v>13</v>
      </c>
      <c r="G30">
        <v>59.99</v>
      </c>
      <c r="H30">
        <v>0.8</v>
      </c>
      <c r="I30">
        <v>13</v>
      </c>
      <c r="J30">
        <v>178.14</v>
      </c>
      <c r="K30">
        <v>51.39</v>
      </c>
      <c r="L30">
        <v>8</v>
      </c>
      <c r="M30">
        <v>3</v>
      </c>
      <c r="N30">
        <v>33.75</v>
      </c>
      <c r="O30">
        <v>22204.83</v>
      </c>
      <c r="P30">
        <v>128.44999999999999</v>
      </c>
      <c r="Q30">
        <v>988.22</v>
      </c>
      <c r="R30">
        <v>45.16</v>
      </c>
      <c r="S30">
        <v>35.43</v>
      </c>
      <c r="T30">
        <v>3828.51</v>
      </c>
      <c r="U30">
        <v>0.78</v>
      </c>
      <c r="V30">
        <v>0.88</v>
      </c>
      <c r="W30">
        <v>2.99</v>
      </c>
      <c r="X30">
        <v>0.24</v>
      </c>
      <c r="Y30">
        <v>1</v>
      </c>
      <c r="Z30">
        <v>10</v>
      </c>
    </row>
    <row r="31" spans="1:26" x14ac:dyDescent="0.3">
      <c r="A31">
        <v>29</v>
      </c>
      <c r="B31">
        <v>85</v>
      </c>
      <c r="C31" t="s">
        <v>26</v>
      </c>
      <c r="D31">
        <v>6.3217999999999996</v>
      </c>
      <c r="E31">
        <v>15.82</v>
      </c>
      <c r="F31">
        <v>13.01</v>
      </c>
      <c r="G31">
        <v>60.02</v>
      </c>
      <c r="H31">
        <v>0.82</v>
      </c>
      <c r="I31">
        <v>13</v>
      </c>
      <c r="J31">
        <v>178.51</v>
      </c>
      <c r="K31">
        <v>51.39</v>
      </c>
      <c r="L31">
        <v>8.25</v>
      </c>
      <c r="M31">
        <v>1</v>
      </c>
      <c r="N31">
        <v>33.869999999999997</v>
      </c>
      <c r="O31">
        <v>22250.6</v>
      </c>
      <c r="P31">
        <v>128.62</v>
      </c>
      <c r="Q31">
        <v>988.23</v>
      </c>
      <c r="R31">
        <v>45.3</v>
      </c>
      <c r="S31">
        <v>35.43</v>
      </c>
      <c r="T31">
        <v>3893.86</v>
      </c>
      <c r="U31">
        <v>0.78</v>
      </c>
      <c r="V31">
        <v>0.88</v>
      </c>
      <c r="W31">
        <v>2.99</v>
      </c>
      <c r="X31">
        <v>0.25</v>
      </c>
      <c r="Y31">
        <v>1</v>
      </c>
      <c r="Z31">
        <v>10</v>
      </c>
    </row>
    <row r="32" spans="1:26" x14ac:dyDescent="0.3">
      <c r="A32">
        <v>30</v>
      </c>
      <c r="B32">
        <v>85</v>
      </c>
      <c r="C32" t="s">
        <v>26</v>
      </c>
      <c r="D32">
        <v>6.3209999999999997</v>
      </c>
      <c r="E32">
        <v>15.82</v>
      </c>
      <c r="F32">
        <v>13.01</v>
      </c>
      <c r="G32">
        <v>60.03</v>
      </c>
      <c r="H32">
        <v>0.84</v>
      </c>
      <c r="I32">
        <v>13</v>
      </c>
      <c r="J32">
        <v>178.88</v>
      </c>
      <c r="K32">
        <v>51.39</v>
      </c>
      <c r="L32">
        <v>8.5</v>
      </c>
      <c r="M32">
        <v>0</v>
      </c>
      <c r="N32">
        <v>33.99</v>
      </c>
      <c r="O32">
        <v>22296.41</v>
      </c>
      <c r="P32">
        <v>128.74</v>
      </c>
      <c r="Q32">
        <v>988.2</v>
      </c>
      <c r="R32">
        <v>45.32</v>
      </c>
      <c r="S32">
        <v>35.43</v>
      </c>
      <c r="T32">
        <v>3905.26</v>
      </c>
      <c r="U32">
        <v>0.78</v>
      </c>
      <c r="V32">
        <v>0.88</v>
      </c>
      <c r="W32">
        <v>3</v>
      </c>
      <c r="X32">
        <v>0.25</v>
      </c>
      <c r="Y32">
        <v>1</v>
      </c>
      <c r="Z32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22"/>
  <dimension ref="A1:Z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20</v>
      </c>
      <c r="C2" t="s">
        <v>26</v>
      </c>
      <c r="D2">
        <v>6.1668000000000003</v>
      </c>
      <c r="E2">
        <v>16.22</v>
      </c>
      <c r="F2">
        <v>13.83</v>
      </c>
      <c r="G2">
        <v>15.96</v>
      </c>
      <c r="H2">
        <v>0.34</v>
      </c>
      <c r="I2">
        <v>52</v>
      </c>
      <c r="J2">
        <v>51.33</v>
      </c>
      <c r="K2">
        <v>24.83</v>
      </c>
      <c r="L2">
        <v>1</v>
      </c>
      <c r="M2">
        <v>11</v>
      </c>
      <c r="N2">
        <v>5.51</v>
      </c>
      <c r="O2">
        <v>6564.78</v>
      </c>
      <c r="P2">
        <v>65.180000000000007</v>
      </c>
      <c r="Q2">
        <v>988.38</v>
      </c>
      <c r="R2">
        <v>69.94</v>
      </c>
      <c r="S2">
        <v>35.43</v>
      </c>
      <c r="T2">
        <v>16019.94</v>
      </c>
      <c r="U2">
        <v>0.51</v>
      </c>
      <c r="V2">
        <v>0.82</v>
      </c>
      <c r="W2">
        <v>3.09</v>
      </c>
      <c r="X2">
        <v>1.08</v>
      </c>
      <c r="Y2">
        <v>1</v>
      </c>
      <c r="Z2">
        <v>10</v>
      </c>
    </row>
    <row r="3" spans="1:26" x14ac:dyDescent="0.3">
      <c r="A3">
        <v>1</v>
      </c>
      <c r="B3">
        <v>20</v>
      </c>
      <c r="C3" t="s">
        <v>26</v>
      </c>
      <c r="D3">
        <v>6.1811999999999996</v>
      </c>
      <c r="E3">
        <v>16.18</v>
      </c>
      <c r="F3">
        <v>13.81</v>
      </c>
      <c r="G3">
        <v>16.239999999999998</v>
      </c>
      <c r="H3">
        <v>0.42</v>
      </c>
      <c r="I3">
        <v>51</v>
      </c>
      <c r="J3">
        <v>51.62</v>
      </c>
      <c r="K3">
        <v>24.83</v>
      </c>
      <c r="L3">
        <v>1.25</v>
      </c>
      <c r="M3">
        <v>0</v>
      </c>
      <c r="N3">
        <v>5.54</v>
      </c>
      <c r="O3">
        <v>6599.8</v>
      </c>
      <c r="P3">
        <v>65.27</v>
      </c>
      <c r="Q3">
        <v>988.45</v>
      </c>
      <c r="R3">
        <v>68.39</v>
      </c>
      <c r="S3">
        <v>35.43</v>
      </c>
      <c r="T3">
        <v>15250.5</v>
      </c>
      <c r="U3">
        <v>0.52</v>
      </c>
      <c r="V3">
        <v>0.83</v>
      </c>
      <c r="W3">
        <v>3.11</v>
      </c>
      <c r="X3">
        <v>1.05</v>
      </c>
      <c r="Y3">
        <v>1</v>
      </c>
      <c r="Z3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ilha23"/>
  <dimension ref="A1:Z5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120</v>
      </c>
      <c r="C2" t="s">
        <v>26</v>
      </c>
      <c r="D2">
        <v>3.6052</v>
      </c>
      <c r="E2">
        <v>27.74</v>
      </c>
      <c r="F2">
        <v>16.559999999999999</v>
      </c>
      <c r="G2">
        <v>5.34</v>
      </c>
      <c r="H2">
        <v>0.08</v>
      </c>
      <c r="I2">
        <v>186</v>
      </c>
      <c r="J2">
        <v>232.68</v>
      </c>
      <c r="K2">
        <v>57.72</v>
      </c>
      <c r="L2">
        <v>1</v>
      </c>
      <c r="M2">
        <v>184</v>
      </c>
      <c r="N2">
        <v>53.95</v>
      </c>
      <c r="O2">
        <v>28931.02</v>
      </c>
      <c r="P2">
        <v>257.98</v>
      </c>
      <c r="Q2">
        <v>988.61</v>
      </c>
      <c r="R2">
        <v>156.38999999999999</v>
      </c>
      <c r="S2">
        <v>35.43</v>
      </c>
      <c r="T2">
        <v>58576.78</v>
      </c>
      <c r="U2">
        <v>0.23</v>
      </c>
      <c r="V2">
        <v>0.69</v>
      </c>
      <c r="W2">
        <v>3.26</v>
      </c>
      <c r="X2">
        <v>3.8</v>
      </c>
      <c r="Y2">
        <v>1</v>
      </c>
      <c r="Z2">
        <v>10</v>
      </c>
    </row>
    <row r="3" spans="1:26" x14ac:dyDescent="0.3">
      <c r="A3">
        <v>1</v>
      </c>
      <c r="B3">
        <v>120</v>
      </c>
      <c r="C3" t="s">
        <v>26</v>
      </c>
      <c r="D3">
        <v>4.0526</v>
      </c>
      <c r="E3">
        <v>24.68</v>
      </c>
      <c r="F3">
        <v>15.59</v>
      </c>
      <c r="G3">
        <v>6.68</v>
      </c>
      <c r="H3">
        <v>0.1</v>
      </c>
      <c r="I3">
        <v>140</v>
      </c>
      <c r="J3">
        <v>233.1</v>
      </c>
      <c r="K3">
        <v>57.72</v>
      </c>
      <c r="L3">
        <v>1.25</v>
      </c>
      <c r="M3">
        <v>138</v>
      </c>
      <c r="N3">
        <v>54.13</v>
      </c>
      <c r="O3">
        <v>28983.75</v>
      </c>
      <c r="P3">
        <v>242.15</v>
      </c>
      <c r="Q3">
        <v>988.47</v>
      </c>
      <c r="R3">
        <v>126.1</v>
      </c>
      <c r="S3">
        <v>35.43</v>
      </c>
      <c r="T3">
        <v>43661.11</v>
      </c>
      <c r="U3">
        <v>0.28000000000000003</v>
      </c>
      <c r="V3">
        <v>0.73</v>
      </c>
      <c r="W3">
        <v>3.19</v>
      </c>
      <c r="X3">
        <v>2.83</v>
      </c>
      <c r="Y3">
        <v>1</v>
      </c>
      <c r="Z3">
        <v>10</v>
      </c>
    </row>
    <row r="4" spans="1:26" x14ac:dyDescent="0.3">
      <c r="A4">
        <v>2</v>
      </c>
      <c r="B4">
        <v>120</v>
      </c>
      <c r="C4" t="s">
        <v>26</v>
      </c>
      <c r="D4">
        <v>4.3796999999999997</v>
      </c>
      <c r="E4">
        <v>22.83</v>
      </c>
      <c r="F4">
        <v>15.02</v>
      </c>
      <c r="G4">
        <v>8.0500000000000007</v>
      </c>
      <c r="H4">
        <v>0.11</v>
      </c>
      <c r="I4">
        <v>112</v>
      </c>
      <c r="J4">
        <v>233.53</v>
      </c>
      <c r="K4">
        <v>57.72</v>
      </c>
      <c r="L4">
        <v>1.5</v>
      </c>
      <c r="M4">
        <v>110</v>
      </c>
      <c r="N4">
        <v>54.31</v>
      </c>
      <c r="O4">
        <v>29036.54</v>
      </c>
      <c r="P4">
        <v>232.53</v>
      </c>
      <c r="Q4">
        <v>988.23</v>
      </c>
      <c r="R4">
        <v>108.11</v>
      </c>
      <c r="S4">
        <v>35.43</v>
      </c>
      <c r="T4">
        <v>34805.4</v>
      </c>
      <c r="U4">
        <v>0.33</v>
      </c>
      <c r="V4">
        <v>0.76</v>
      </c>
      <c r="W4">
        <v>3.16</v>
      </c>
      <c r="X4">
        <v>2.27</v>
      </c>
      <c r="Y4">
        <v>1</v>
      </c>
      <c r="Z4">
        <v>10</v>
      </c>
    </row>
    <row r="5" spans="1:26" x14ac:dyDescent="0.3">
      <c r="A5">
        <v>3</v>
      </c>
      <c r="B5">
        <v>120</v>
      </c>
      <c r="C5" t="s">
        <v>26</v>
      </c>
      <c r="D5">
        <v>4.6250999999999998</v>
      </c>
      <c r="E5">
        <v>21.62</v>
      </c>
      <c r="F5">
        <v>14.63</v>
      </c>
      <c r="G5">
        <v>9.34</v>
      </c>
      <c r="H5">
        <v>0.13</v>
      </c>
      <c r="I5">
        <v>94</v>
      </c>
      <c r="J5">
        <v>233.96</v>
      </c>
      <c r="K5">
        <v>57.72</v>
      </c>
      <c r="L5">
        <v>1.75</v>
      </c>
      <c r="M5">
        <v>92</v>
      </c>
      <c r="N5">
        <v>54.49</v>
      </c>
      <c r="O5">
        <v>29089.39</v>
      </c>
      <c r="P5">
        <v>225.73</v>
      </c>
      <c r="Q5">
        <v>988.55</v>
      </c>
      <c r="R5">
        <v>96.13</v>
      </c>
      <c r="S5">
        <v>35.43</v>
      </c>
      <c r="T5">
        <v>28906.06</v>
      </c>
      <c r="U5">
        <v>0.37</v>
      </c>
      <c r="V5">
        <v>0.78</v>
      </c>
      <c r="W5">
        <v>3.11</v>
      </c>
      <c r="X5">
        <v>1.87</v>
      </c>
      <c r="Y5">
        <v>1</v>
      </c>
      <c r="Z5">
        <v>10</v>
      </c>
    </row>
    <row r="6" spans="1:26" x14ac:dyDescent="0.3">
      <c r="A6">
        <v>4</v>
      </c>
      <c r="B6">
        <v>120</v>
      </c>
      <c r="C6" t="s">
        <v>26</v>
      </c>
      <c r="D6">
        <v>4.8320999999999996</v>
      </c>
      <c r="E6">
        <v>20.69</v>
      </c>
      <c r="F6">
        <v>14.34</v>
      </c>
      <c r="G6">
        <v>10.76</v>
      </c>
      <c r="H6">
        <v>0.15</v>
      </c>
      <c r="I6">
        <v>80</v>
      </c>
      <c r="J6">
        <v>234.39</v>
      </c>
      <c r="K6">
        <v>57.72</v>
      </c>
      <c r="L6">
        <v>2</v>
      </c>
      <c r="M6">
        <v>78</v>
      </c>
      <c r="N6">
        <v>54.67</v>
      </c>
      <c r="O6">
        <v>29142.31</v>
      </c>
      <c r="P6">
        <v>220.55</v>
      </c>
      <c r="Q6">
        <v>988.27</v>
      </c>
      <c r="R6">
        <v>87.18</v>
      </c>
      <c r="S6">
        <v>35.43</v>
      </c>
      <c r="T6">
        <v>24499.9</v>
      </c>
      <c r="U6">
        <v>0.41</v>
      </c>
      <c r="V6">
        <v>0.79</v>
      </c>
      <c r="W6">
        <v>3.09</v>
      </c>
      <c r="X6">
        <v>1.58</v>
      </c>
      <c r="Y6">
        <v>1</v>
      </c>
      <c r="Z6">
        <v>10</v>
      </c>
    </row>
    <row r="7" spans="1:26" x14ac:dyDescent="0.3">
      <c r="A7">
        <v>5</v>
      </c>
      <c r="B7">
        <v>120</v>
      </c>
      <c r="C7" t="s">
        <v>26</v>
      </c>
      <c r="D7">
        <v>4.9843999999999999</v>
      </c>
      <c r="E7">
        <v>20.059999999999999</v>
      </c>
      <c r="F7">
        <v>14.16</v>
      </c>
      <c r="G7">
        <v>12.14</v>
      </c>
      <c r="H7">
        <v>0.17</v>
      </c>
      <c r="I7">
        <v>70</v>
      </c>
      <c r="J7">
        <v>234.82</v>
      </c>
      <c r="K7">
        <v>57.72</v>
      </c>
      <c r="L7">
        <v>2.25</v>
      </c>
      <c r="M7">
        <v>68</v>
      </c>
      <c r="N7">
        <v>54.85</v>
      </c>
      <c r="O7">
        <v>29195.29</v>
      </c>
      <c r="P7">
        <v>217</v>
      </c>
      <c r="Q7">
        <v>988.3</v>
      </c>
      <c r="R7">
        <v>81.27</v>
      </c>
      <c r="S7">
        <v>35.43</v>
      </c>
      <c r="T7">
        <v>21595.58</v>
      </c>
      <c r="U7">
        <v>0.44</v>
      </c>
      <c r="V7">
        <v>0.8</v>
      </c>
      <c r="W7">
        <v>3.09</v>
      </c>
      <c r="X7">
        <v>1.41</v>
      </c>
      <c r="Y7">
        <v>1</v>
      </c>
      <c r="Z7">
        <v>10</v>
      </c>
    </row>
    <row r="8" spans="1:26" x14ac:dyDescent="0.3">
      <c r="A8">
        <v>6</v>
      </c>
      <c r="B8">
        <v>120</v>
      </c>
      <c r="C8" t="s">
        <v>26</v>
      </c>
      <c r="D8">
        <v>5.1054000000000004</v>
      </c>
      <c r="E8">
        <v>19.59</v>
      </c>
      <c r="F8">
        <v>14.01</v>
      </c>
      <c r="G8">
        <v>13.34</v>
      </c>
      <c r="H8">
        <v>0.19</v>
      </c>
      <c r="I8">
        <v>63</v>
      </c>
      <c r="J8">
        <v>235.25</v>
      </c>
      <c r="K8">
        <v>57.72</v>
      </c>
      <c r="L8">
        <v>2.5</v>
      </c>
      <c r="M8">
        <v>61</v>
      </c>
      <c r="N8">
        <v>55.03</v>
      </c>
      <c r="O8">
        <v>29248.33</v>
      </c>
      <c r="P8">
        <v>213.76</v>
      </c>
      <c r="Q8">
        <v>988.25</v>
      </c>
      <c r="R8">
        <v>76.59</v>
      </c>
      <c r="S8">
        <v>35.43</v>
      </c>
      <c r="T8">
        <v>19293.41</v>
      </c>
      <c r="U8">
        <v>0.46</v>
      </c>
      <c r="V8">
        <v>0.81</v>
      </c>
      <c r="W8">
        <v>3.07</v>
      </c>
      <c r="X8">
        <v>1.25</v>
      </c>
      <c r="Y8">
        <v>1</v>
      </c>
      <c r="Z8">
        <v>10</v>
      </c>
    </row>
    <row r="9" spans="1:26" x14ac:dyDescent="0.3">
      <c r="A9">
        <v>7</v>
      </c>
      <c r="B9">
        <v>120</v>
      </c>
      <c r="C9" t="s">
        <v>26</v>
      </c>
      <c r="D9">
        <v>5.2297000000000002</v>
      </c>
      <c r="E9">
        <v>19.12</v>
      </c>
      <c r="F9">
        <v>13.86</v>
      </c>
      <c r="G9">
        <v>14.85</v>
      </c>
      <c r="H9">
        <v>0.21</v>
      </c>
      <c r="I9">
        <v>56</v>
      </c>
      <c r="J9">
        <v>235.68</v>
      </c>
      <c r="K9">
        <v>57.72</v>
      </c>
      <c r="L9">
        <v>2.75</v>
      </c>
      <c r="M9">
        <v>54</v>
      </c>
      <c r="N9">
        <v>55.21</v>
      </c>
      <c r="O9">
        <v>29301.439999999999</v>
      </c>
      <c r="P9">
        <v>210.66</v>
      </c>
      <c r="Q9">
        <v>988.16</v>
      </c>
      <c r="R9">
        <v>72.14</v>
      </c>
      <c r="S9">
        <v>35.43</v>
      </c>
      <c r="T9">
        <v>17101.7</v>
      </c>
      <c r="U9">
        <v>0.49</v>
      </c>
      <c r="V9">
        <v>0.82</v>
      </c>
      <c r="W9">
        <v>3.06</v>
      </c>
      <c r="X9">
        <v>1.1100000000000001</v>
      </c>
      <c r="Y9">
        <v>1</v>
      </c>
      <c r="Z9">
        <v>10</v>
      </c>
    </row>
    <row r="10" spans="1:26" x14ac:dyDescent="0.3">
      <c r="A10">
        <v>8</v>
      </c>
      <c r="B10">
        <v>120</v>
      </c>
      <c r="C10" t="s">
        <v>26</v>
      </c>
      <c r="D10">
        <v>5.3135000000000003</v>
      </c>
      <c r="E10">
        <v>18.82</v>
      </c>
      <c r="F10">
        <v>13.79</v>
      </c>
      <c r="G10">
        <v>16.22</v>
      </c>
      <c r="H10">
        <v>0.23</v>
      </c>
      <c r="I10">
        <v>51</v>
      </c>
      <c r="J10">
        <v>236.11</v>
      </c>
      <c r="K10">
        <v>57.72</v>
      </c>
      <c r="L10">
        <v>3</v>
      </c>
      <c r="M10">
        <v>49</v>
      </c>
      <c r="N10">
        <v>55.39</v>
      </c>
      <c r="O10">
        <v>29354.61</v>
      </c>
      <c r="P10">
        <v>208.78</v>
      </c>
      <c r="Q10">
        <v>988.23</v>
      </c>
      <c r="R10">
        <v>69.64</v>
      </c>
      <c r="S10">
        <v>35.43</v>
      </c>
      <c r="T10">
        <v>15873.78</v>
      </c>
      <c r="U10">
        <v>0.51</v>
      </c>
      <c r="V10">
        <v>0.83</v>
      </c>
      <c r="W10">
        <v>3.06</v>
      </c>
      <c r="X10">
        <v>1.03</v>
      </c>
      <c r="Y10">
        <v>1</v>
      </c>
      <c r="Z10">
        <v>10</v>
      </c>
    </row>
    <row r="11" spans="1:26" x14ac:dyDescent="0.3">
      <c r="A11">
        <v>9</v>
      </c>
      <c r="B11">
        <v>120</v>
      </c>
      <c r="C11" t="s">
        <v>26</v>
      </c>
      <c r="D11">
        <v>5.3960999999999997</v>
      </c>
      <c r="E11">
        <v>18.53</v>
      </c>
      <c r="F11">
        <v>13.68</v>
      </c>
      <c r="G11">
        <v>17.47</v>
      </c>
      <c r="H11">
        <v>0.24</v>
      </c>
      <c r="I11">
        <v>47</v>
      </c>
      <c r="J11">
        <v>236.54</v>
      </c>
      <c r="K11">
        <v>57.72</v>
      </c>
      <c r="L11">
        <v>3.25</v>
      </c>
      <c r="M11">
        <v>45</v>
      </c>
      <c r="N11">
        <v>55.57</v>
      </c>
      <c r="O11">
        <v>29407.85</v>
      </c>
      <c r="P11">
        <v>206.44</v>
      </c>
      <c r="Q11">
        <v>988.19</v>
      </c>
      <c r="R11">
        <v>66.540000000000006</v>
      </c>
      <c r="S11">
        <v>35.43</v>
      </c>
      <c r="T11">
        <v>14347.93</v>
      </c>
      <c r="U11">
        <v>0.53</v>
      </c>
      <c r="V11">
        <v>0.83</v>
      </c>
      <c r="W11">
        <v>3.04</v>
      </c>
      <c r="X11">
        <v>0.93</v>
      </c>
      <c r="Y11">
        <v>1</v>
      </c>
      <c r="Z11">
        <v>10</v>
      </c>
    </row>
    <row r="12" spans="1:26" x14ac:dyDescent="0.3">
      <c r="A12">
        <v>10</v>
      </c>
      <c r="B12">
        <v>120</v>
      </c>
      <c r="C12" t="s">
        <v>26</v>
      </c>
      <c r="D12">
        <v>5.4775</v>
      </c>
      <c r="E12">
        <v>18.260000000000002</v>
      </c>
      <c r="F12">
        <v>13.59</v>
      </c>
      <c r="G12">
        <v>18.96</v>
      </c>
      <c r="H12">
        <v>0.26</v>
      </c>
      <c r="I12">
        <v>43</v>
      </c>
      <c r="J12">
        <v>236.98</v>
      </c>
      <c r="K12">
        <v>57.72</v>
      </c>
      <c r="L12">
        <v>3.5</v>
      </c>
      <c r="M12">
        <v>41</v>
      </c>
      <c r="N12">
        <v>55.75</v>
      </c>
      <c r="O12">
        <v>29461.15</v>
      </c>
      <c r="P12">
        <v>204.35</v>
      </c>
      <c r="Q12">
        <v>988.16</v>
      </c>
      <c r="R12">
        <v>63.73</v>
      </c>
      <c r="S12">
        <v>35.43</v>
      </c>
      <c r="T12">
        <v>12959.72</v>
      </c>
      <c r="U12">
        <v>0.56000000000000005</v>
      </c>
      <c r="V12">
        <v>0.84</v>
      </c>
      <c r="W12">
        <v>3.03</v>
      </c>
      <c r="X12">
        <v>0.83</v>
      </c>
      <c r="Y12">
        <v>1</v>
      </c>
      <c r="Z12">
        <v>10</v>
      </c>
    </row>
    <row r="13" spans="1:26" x14ac:dyDescent="0.3">
      <c r="A13">
        <v>11</v>
      </c>
      <c r="B13">
        <v>120</v>
      </c>
      <c r="C13" t="s">
        <v>26</v>
      </c>
      <c r="D13">
        <v>5.5365000000000002</v>
      </c>
      <c r="E13">
        <v>18.059999999999999</v>
      </c>
      <c r="F13">
        <v>13.53</v>
      </c>
      <c r="G13">
        <v>20.3</v>
      </c>
      <c r="H13">
        <v>0.28000000000000003</v>
      </c>
      <c r="I13">
        <v>40</v>
      </c>
      <c r="J13">
        <v>237.41</v>
      </c>
      <c r="K13">
        <v>57.72</v>
      </c>
      <c r="L13">
        <v>3.75</v>
      </c>
      <c r="M13">
        <v>38</v>
      </c>
      <c r="N13">
        <v>55.93</v>
      </c>
      <c r="O13">
        <v>29514.51</v>
      </c>
      <c r="P13">
        <v>202.71</v>
      </c>
      <c r="Q13">
        <v>988.11</v>
      </c>
      <c r="R13">
        <v>61.73</v>
      </c>
      <c r="S13">
        <v>35.43</v>
      </c>
      <c r="T13">
        <v>11977.73</v>
      </c>
      <c r="U13">
        <v>0.56999999999999995</v>
      </c>
      <c r="V13">
        <v>0.84</v>
      </c>
      <c r="W13">
        <v>3.03</v>
      </c>
      <c r="X13">
        <v>0.78</v>
      </c>
      <c r="Y13">
        <v>1</v>
      </c>
      <c r="Z13">
        <v>10</v>
      </c>
    </row>
    <row r="14" spans="1:26" x14ac:dyDescent="0.3">
      <c r="A14">
        <v>12</v>
      </c>
      <c r="B14">
        <v>120</v>
      </c>
      <c r="C14" t="s">
        <v>26</v>
      </c>
      <c r="D14">
        <v>5.5963000000000003</v>
      </c>
      <c r="E14">
        <v>17.87</v>
      </c>
      <c r="F14">
        <v>13.47</v>
      </c>
      <c r="G14">
        <v>21.85</v>
      </c>
      <c r="H14">
        <v>0.3</v>
      </c>
      <c r="I14">
        <v>37</v>
      </c>
      <c r="J14">
        <v>237.84</v>
      </c>
      <c r="K14">
        <v>57.72</v>
      </c>
      <c r="L14">
        <v>4</v>
      </c>
      <c r="M14">
        <v>35</v>
      </c>
      <c r="N14">
        <v>56.12</v>
      </c>
      <c r="O14">
        <v>29567.95</v>
      </c>
      <c r="P14">
        <v>200.94</v>
      </c>
      <c r="Q14">
        <v>988.3</v>
      </c>
      <c r="R14">
        <v>60.25</v>
      </c>
      <c r="S14">
        <v>35.43</v>
      </c>
      <c r="T14">
        <v>11249.09</v>
      </c>
      <c r="U14">
        <v>0.59</v>
      </c>
      <c r="V14">
        <v>0.85</v>
      </c>
      <c r="W14">
        <v>3.02</v>
      </c>
      <c r="X14">
        <v>0.72</v>
      </c>
      <c r="Y14">
        <v>1</v>
      </c>
      <c r="Z14">
        <v>10</v>
      </c>
    </row>
    <row r="15" spans="1:26" x14ac:dyDescent="0.3">
      <c r="A15">
        <v>13</v>
      </c>
      <c r="B15">
        <v>120</v>
      </c>
      <c r="C15" t="s">
        <v>26</v>
      </c>
      <c r="D15">
        <v>5.6379999999999999</v>
      </c>
      <c r="E15">
        <v>17.739999999999998</v>
      </c>
      <c r="F15">
        <v>13.43</v>
      </c>
      <c r="G15">
        <v>23.03</v>
      </c>
      <c r="H15">
        <v>0.32</v>
      </c>
      <c r="I15">
        <v>35</v>
      </c>
      <c r="J15">
        <v>238.28</v>
      </c>
      <c r="K15">
        <v>57.72</v>
      </c>
      <c r="L15">
        <v>4.25</v>
      </c>
      <c r="M15">
        <v>33</v>
      </c>
      <c r="N15">
        <v>56.3</v>
      </c>
      <c r="O15">
        <v>29621.439999999999</v>
      </c>
      <c r="P15">
        <v>199.75</v>
      </c>
      <c r="Q15">
        <v>988.16</v>
      </c>
      <c r="R15">
        <v>58.84</v>
      </c>
      <c r="S15">
        <v>35.43</v>
      </c>
      <c r="T15">
        <v>10556.99</v>
      </c>
      <c r="U15">
        <v>0.6</v>
      </c>
      <c r="V15">
        <v>0.85</v>
      </c>
      <c r="W15">
        <v>3.02</v>
      </c>
      <c r="X15">
        <v>0.68</v>
      </c>
      <c r="Y15">
        <v>1</v>
      </c>
      <c r="Z15">
        <v>10</v>
      </c>
    </row>
    <row r="16" spans="1:26" x14ac:dyDescent="0.3">
      <c r="A16">
        <v>14</v>
      </c>
      <c r="B16">
        <v>120</v>
      </c>
      <c r="C16" t="s">
        <v>26</v>
      </c>
      <c r="D16">
        <v>5.6824000000000003</v>
      </c>
      <c r="E16">
        <v>17.600000000000001</v>
      </c>
      <c r="F16">
        <v>13.39</v>
      </c>
      <c r="G16">
        <v>24.34</v>
      </c>
      <c r="H16">
        <v>0.34</v>
      </c>
      <c r="I16">
        <v>33</v>
      </c>
      <c r="J16">
        <v>238.71</v>
      </c>
      <c r="K16">
        <v>57.72</v>
      </c>
      <c r="L16">
        <v>4.5</v>
      </c>
      <c r="M16">
        <v>31</v>
      </c>
      <c r="N16">
        <v>56.49</v>
      </c>
      <c r="O16">
        <v>29675.01</v>
      </c>
      <c r="P16">
        <v>198.07</v>
      </c>
      <c r="Q16">
        <v>988.23</v>
      </c>
      <c r="R16">
        <v>57.39</v>
      </c>
      <c r="S16">
        <v>35.43</v>
      </c>
      <c r="T16">
        <v>9839.7099999999991</v>
      </c>
      <c r="U16">
        <v>0.62</v>
      </c>
      <c r="V16">
        <v>0.85</v>
      </c>
      <c r="W16">
        <v>3.02</v>
      </c>
      <c r="X16">
        <v>0.63</v>
      </c>
      <c r="Y16">
        <v>1</v>
      </c>
      <c r="Z16">
        <v>10</v>
      </c>
    </row>
    <row r="17" spans="1:26" x14ac:dyDescent="0.3">
      <c r="A17">
        <v>15</v>
      </c>
      <c r="B17">
        <v>120</v>
      </c>
      <c r="C17" t="s">
        <v>26</v>
      </c>
      <c r="D17">
        <v>5.7209000000000003</v>
      </c>
      <c r="E17">
        <v>17.48</v>
      </c>
      <c r="F17">
        <v>13.36</v>
      </c>
      <c r="G17">
        <v>25.86</v>
      </c>
      <c r="H17">
        <v>0.35</v>
      </c>
      <c r="I17">
        <v>31</v>
      </c>
      <c r="J17">
        <v>239.14</v>
      </c>
      <c r="K17">
        <v>57.72</v>
      </c>
      <c r="L17">
        <v>4.75</v>
      </c>
      <c r="M17">
        <v>29</v>
      </c>
      <c r="N17">
        <v>56.67</v>
      </c>
      <c r="O17">
        <v>29728.63</v>
      </c>
      <c r="P17">
        <v>197.03</v>
      </c>
      <c r="Q17">
        <v>988.09</v>
      </c>
      <c r="R17">
        <v>56.74</v>
      </c>
      <c r="S17">
        <v>35.43</v>
      </c>
      <c r="T17">
        <v>9526.35</v>
      </c>
      <c r="U17">
        <v>0.62</v>
      </c>
      <c r="V17">
        <v>0.85</v>
      </c>
      <c r="W17">
        <v>3.01</v>
      </c>
      <c r="X17">
        <v>0.6</v>
      </c>
      <c r="Y17">
        <v>1</v>
      </c>
      <c r="Z17">
        <v>10</v>
      </c>
    </row>
    <row r="18" spans="1:26" x14ac:dyDescent="0.3">
      <c r="A18">
        <v>16</v>
      </c>
      <c r="B18">
        <v>120</v>
      </c>
      <c r="C18" t="s">
        <v>26</v>
      </c>
      <c r="D18">
        <v>5.7674000000000003</v>
      </c>
      <c r="E18">
        <v>17.34</v>
      </c>
      <c r="F18">
        <v>13.31</v>
      </c>
      <c r="G18">
        <v>27.54</v>
      </c>
      <c r="H18">
        <v>0.37</v>
      </c>
      <c r="I18">
        <v>29</v>
      </c>
      <c r="J18">
        <v>239.58</v>
      </c>
      <c r="K18">
        <v>57.72</v>
      </c>
      <c r="L18">
        <v>5</v>
      </c>
      <c r="M18">
        <v>27</v>
      </c>
      <c r="N18">
        <v>56.86</v>
      </c>
      <c r="O18">
        <v>29782.33</v>
      </c>
      <c r="P18">
        <v>195.35</v>
      </c>
      <c r="Q18">
        <v>988.08</v>
      </c>
      <c r="R18">
        <v>54.97</v>
      </c>
      <c r="S18">
        <v>35.43</v>
      </c>
      <c r="T18">
        <v>8651.6299999999992</v>
      </c>
      <c r="U18">
        <v>0.64</v>
      </c>
      <c r="V18">
        <v>0.86</v>
      </c>
      <c r="W18">
        <v>3.01</v>
      </c>
      <c r="X18">
        <v>0.56000000000000005</v>
      </c>
      <c r="Y18">
        <v>1</v>
      </c>
      <c r="Z18">
        <v>10</v>
      </c>
    </row>
    <row r="19" spans="1:26" x14ac:dyDescent="0.3">
      <c r="A19">
        <v>17</v>
      </c>
      <c r="B19">
        <v>120</v>
      </c>
      <c r="C19" t="s">
        <v>26</v>
      </c>
      <c r="D19">
        <v>5.7877000000000001</v>
      </c>
      <c r="E19">
        <v>17.28</v>
      </c>
      <c r="F19">
        <v>13.29</v>
      </c>
      <c r="G19">
        <v>28.49</v>
      </c>
      <c r="H19">
        <v>0.39</v>
      </c>
      <c r="I19">
        <v>28</v>
      </c>
      <c r="J19">
        <v>240.02</v>
      </c>
      <c r="K19">
        <v>57.72</v>
      </c>
      <c r="L19">
        <v>5.25</v>
      </c>
      <c r="M19">
        <v>26</v>
      </c>
      <c r="N19">
        <v>57.04</v>
      </c>
      <c r="O19">
        <v>29836.09</v>
      </c>
      <c r="P19">
        <v>194.38</v>
      </c>
      <c r="Q19">
        <v>988.11</v>
      </c>
      <c r="R19">
        <v>54.59</v>
      </c>
      <c r="S19">
        <v>35.43</v>
      </c>
      <c r="T19">
        <v>8466.7199999999993</v>
      </c>
      <c r="U19">
        <v>0.65</v>
      </c>
      <c r="V19">
        <v>0.86</v>
      </c>
      <c r="W19">
        <v>3.01</v>
      </c>
      <c r="X19">
        <v>0.54</v>
      </c>
      <c r="Y19">
        <v>1</v>
      </c>
      <c r="Z19">
        <v>10</v>
      </c>
    </row>
    <row r="20" spans="1:26" x14ac:dyDescent="0.3">
      <c r="A20">
        <v>18</v>
      </c>
      <c r="B20">
        <v>120</v>
      </c>
      <c r="C20" t="s">
        <v>26</v>
      </c>
      <c r="D20">
        <v>5.8113000000000001</v>
      </c>
      <c r="E20">
        <v>17.21</v>
      </c>
      <c r="F20">
        <v>13.27</v>
      </c>
      <c r="G20">
        <v>29.49</v>
      </c>
      <c r="H20">
        <v>0.41</v>
      </c>
      <c r="I20">
        <v>27</v>
      </c>
      <c r="J20">
        <v>240.45</v>
      </c>
      <c r="K20">
        <v>57.72</v>
      </c>
      <c r="L20">
        <v>5.5</v>
      </c>
      <c r="M20">
        <v>25</v>
      </c>
      <c r="N20">
        <v>57.23</v>
      </c>
      <c r="O20">
        <v>29890.04</v>
      </c>
      <c r="P20">
        <v>193.22</v>
      </c>
      <c r="Q20">
        <v>988.24</v>
      </c>
      <c r="R20">
        <v>53.58</v>
      </c>
      <c r="S20">
        <v>35.43</v>
      </c>
      <c r="T20">
        <v>7967.9</v>
      </c>
      <c r="U20">
        <v>0.66</v>
      </c>
      <c r="V20">
        <v>0.86</v>
      </c>
      <c r="W20">
        <v>3.01</v>
      </c>
      <c r="X20">
        <v>0.51</v>
      </c>
      <c r="Y20">
        <v>1</v>
      </c>
      <c r="Z20">
        <v>10</v>
      </c>
    </row>
    <row r="21" spans="1:26" x14ac:dyDescent="0.3">
      <c r="A21">
        <v>19</v>
      </c>
      <c r="B21">
        <v>120</v>
      </c>
      <c r="C21" t="s">
        <v>26</v>
      </c>
      <c r="D21">
        <v>5.8556999999999997</v>
      </c>
      <c r="E21">
        <v>17.079999999999998</v>
      </c>
      <c r="F21">
        <v>13.23</v>
      </c>
      <c r="G21">
        <v>31.75</v>
      </c>
      <c r="H21">
        <v>0.42</v>
      </c>
      <c r="I21">
        <v>25</v>
      </c>
      <c r="J21">
        <v>240.89</v>
      </c>
      <c r="K21">
        <v>57.72</v>
      </c>
      <c r="L21">
        <v>5.75</v>
      </c>
      <c r="M21">
        <v>23</v>
      </c>
      <c r="N21">
        <v>57.42</v>
      </c>
      <c r="O21">
        <v>29943.94</v>
      </c>
      <c r="P21">
        <v>191.89</v>
      </c>
      <c r="Q21">
        <v>988.1</v>
      </c>
      <c r="R21">
        <v>52.57</v>
      </c>
      <c r="S21">
        <v>35.43</v>
      </c>
      <c r="T21">
        <v>7469.13</v>
      </c>
      <c r="U21">
        <v>0.67</v>
      </c>
      <c r="V21">
        <v>0.86</v>
      </c>
      <c r="W21">
        <v>3</v>
      </c>
      <c r="X21">
        <v>0.48</v>
      </c>
      <c r="Y21">
        <v>1</v>
      </c>
      <c r="Z21">
        <v>10</v>
      </c>
    </row>
    <row r="22" spans="1:26" x14ac:dyDescent="0.3">
      <c r="A22">
        <v>20</v>
      </c>
      <c r="B22">
        <v>120</v>
      </c>
      <c r="C22" t="s">
        <v>26</v>
      </c>
      <c r="D22">
        <v>5.8764000000000003</v>
      </c>
      <c r="E22">
        <v>17.02</v>
      </c>
      <c r="F22">
        <v>13.21</v>
      </c>
      <c r="G22">
        <v>33.04</v>
      </c>
      <c r="H22">
        <v>0.44</v>
      </c>
      <c r="I22">
        <v>24</v>
      </c>
      <c r="J22">
        <v>241.33</v>
      </c>
      <c r="K22">
        <v>57.72</v>
      </c>
      <c r="L22">
        <v>6</v>
      </c>
      <c r="M22">
        <v>22</v>
      </c>
      <c r="N22">
        <v>57.6</v>
      </c>
      <c r="O22">
        <v>29997.9</v>
      </c>
      <c r="P22">
        <v>190.8</v>
      </c>
      <c r="Q22">
        <v>988.15</v>
      </c>
      <c r="R22">
        <v>52.07</v>
      </c>
      <c r="S22">
        <v>35.43</v>
      </c>
      <c r="T22">
        <v>7225.1</v>
      </c>
      <c r="U22">
        <v>0.68</v>
      </c>
      <c r="V22">
        <v>0.86</v>
      </c>
      <c r="W22">
        <v>3</v>
      </c>
      <c r="X22">
        <v>0.46</v>
      </c>
      <c r="Y22">
        <v>1</v>
      </c>
      <c r="Z22">
        <v>10</v>
      </c>
    </row>
    <row r="23" spans="1:26" x14ac:dyDescent="0.3">
      <c r="A23">
        <v>21</v>
      </c>
      <c r="B23">
        <v>120</v>
      </c>
      <c r="C23" t="s">
        <v>26</v>
      </c>
      <c r="D23">
        <v>5.8963000000000001</v>
      </c>
      <c r="E23">
        <v>16.96</v>
      </c>
      <c r="F23">
        <v>13.2</v>
      </c>
      <c r="G23">
        <v>34.44</v>
      </c>
      <c r="H23">
        <v>0.46</v>
      </c>
      <c r="I23">
        <v>23</v>
      </c>
      <c r="J23">
        <v>241.77</v>
      </c>
      <c r="K23">
        <v>57.72</v>
      </c>
      <c r="L23">
        <v>6.25</v>
      </c>
      <c r="M23">
        <v>21</v>
      </c>
      <c r="N23">
        <v>57.79</v>
      </c>
      <c r="O23">
        <v>30051.93</v>
      </c>
      <c r="P23">
        <v>189.89</v>
      </c>
      <c r="Q23">
        <v>988.18</v>
      </c>
      <c r="R23">
        <v>51.68</v>
      </c>
      <c r="S23">
        <v>35.43</v>
      </c>
      <c r="T23">
        <v>7037.07</v>
      </c>
      <c r="U23">
        <v>0.69</v>
      </c>
      <c r="V23">
        <v>0.86</v>
      </c>
      <c r="W23">
        <v>3</v>
      </c>
      <c r="X23">
        <v>0.45</v>
      </c>
      <c r="Y23">
        <v>1</v>
      </c>
      <c r="Z23">
        <v>10</v>
      </c>
    </row>
    <row r="24" spans="1:26" x14ac:dyDescent="0.3">
      <c r="A24">
        <v>22</v>
      </c>
      <c r="B24">
        <v>120</v>
      </c>
      <c r="C24" t="s">
        <v>26</v>
      </c>
      <c r="D24">
        <v>5.9245000000000001</v>
      </c>
      <c r="E24">
        <v>16.88</v>
      </c>
      <c r="F24">
        <v>13.17</v>
      </c>
      <c r="G24">
        <v>35.909999999999997</v>
      </c>
      <c r="H24">
        <v>0.48</v>
      </c>
      <c r="I24">
        <v>22</v>
      </c>
      <c r="J24">
        <v>242.2</v>
      </c>
      <c r="K24">
        <v>57.72</v>
      </c>
      <c r="L24">
        <v>6.5</v>
      </c>
      <c r="M24">
        <v>20</v>
      </c>
      <c r="N24">
        <v>57.98</v>
      </c>
      <c r="O24">
        <v>30106.03</v>
      </c>
      <c r="P24">
        <v>188.62</v>
      </c>
      <c r="Q24">
        <v>988.14</v>
      </c>
      <c r="R24">
        <v>50.62</v>
      </c>
      <c r="S24">
        <v>35.43</v>
      </c>
      <c r="T24">
        <v>6509.31</v>
      </c>
      <c r="U24">
        <v>0.7</v>
      </c>
      <c r="V24">
        <v>0.87</v>
      </c>
      <c r="W24">
        <v>3</v>
      </c>
      <c r="X24">
        <v>0.41</v>
      </c>
      <c r="Y24">
        <v>1</v>
      </c>
      <c r="Z24">
        <v>10</v>
      </c>
    </row>
    <row r="25" spans="1:26" x14ac:dyDescent="0.3">
      <c r="A25">
        <v>23</v>
      </c>
      <c r="B25">
        <v>120</v>
      </c>
      <c r="C25" t="s">
        <v>26</v>
      </c>
      <c r="D25">
        <v>5.9421999999999997</v>
      </c>
      <c r="E25">
        <v>16.829999999999998</v>
      </c>
      <c r="F25">
        <v>13.16</v>
      </c>
      <c r="G25">
        <v>37.61</v>
      </c>
      <c r="H25">
        <v>0.49</v>
      </c>
      <c r="I25">
        <v>21</v>
      </c>
      <c r="J25">
        <v>242.64</v>
      </c>
      <c r="K25">
        <v>57.72</v>
      </c>
      <c r="L25">
        <v>6.75</v>
      </c>
      <c r="M25">
        <v>19</v>
      </c>
      <c r="N25">
        <v>58.17</v>
      </c>
      <c r="O25">
        <v>30160.2</v>
      </c>
      <c r="P25">
        <v>187.71</v>
      </c>
      <c r="Q25">
        <v>988.13</v>
      </c>
      <c r="R25">
        <v>50.39</v>
      </c>
      <c r="S25">
        <v>35.43</v>
      </c>
      <c r="T25">
        <v>6402.4</v>
      </c>
      <c r="U25">
        <v>0.7</v>
      </c>
      <c r="V25">
        <v>0.87</v>
      </c>
      <c r="W25">
        <v>3</v>
      </c>
      <c r="X25">
        <v>0.41</v>
      </c>
      <c r="Y25">
        <v>1</v>
      </c>
      <c r="Z25">
        <v>10</v>
      </c>
    </row>
    <row r="26" spans="1:26" x14ac:dyDescent="0.3">
      <c r="A26">
        <v>24</v>
      </c>
      <c r="B26">
        <v>120</v>
      </c>
      <c r="C26" t="s">
        <v>26</v>
      </c>
      <c r="D26">
        <v>5.9469000000000003</v>
      </c>
      <c r="E26">
        <v>16.82</v>
      </c>
      <c r="F26">
        <v>13.15</v>
      </c>
      <c r="G26">
        <v>37.57</v>
      </c>
      <c r="H26">
        <v>0.51</v>
      </c>
      <c r="I26">
        <v>21</v>
      </c>
      <c r="J26">
        <v>243.08</v>
      </c>
      <c r="K26">
        <v>57.72</v>
      </c>
      <c r="L26">
        <v>7</v>
      </c>
      <c r="M26">
        <v>19</v>
      </c>
      <c r="N26">
        <v>58.36</v>
      </c>
      <c r="O26">
        <v>30214.44</v>
      </c>
      <c r="P26">
        <v>186.65</v>
      </c>
      <c r="Q26">
        <v>988.2</v>
      </c>
      <c r="R26">
        <v>50</v>
      </c>
      <c r="S26">
        <v>35.43</v>
      </c>
      <c r="T26">
        <v>6206.73</v>
      </c>
      <c r="U26">
        <v>0.71</v>
      </c>
      <c r="V26">
        <v>0.87</v>
      </c>
      <c r="W26">
        <v>3</v>
      </c>
      <c r="X26">
        <v>0.4</v>
      </c>
      <c r="Y26">
        <v>1</v>
      </c>
      <c r="Z26">
        <v>10</v>
      </c>
    </row>
    <row r="27" spans="1:26" x14ac:dyDescent="0.3">
      <c r="A27">
        <v>25</v>
      </c>
      <c r="B27">
        <v>120</v>
      </c>
      <c r="C27" t="s">
        <v>26</v>
      </c>
      <c r="D27">
        <v>5.9726999999999997</v>
      </c>
      <c r="E27">
        <v>16.739999999999998</v>
      </c>
      <c r="F27">
        <v>13.12</v>
      </c>
      <c r="G27">
        <v>39.369999999999997</v>
      </c>
      <c r="H27">
        <v>0.53</v>
      </c>
      <c r="I27">
        <v>20</v>
      </c>
      <c r="J27">
        <v>243.52</v>
      </c>
      <c r="K27">
        <v>57.72</v>
      </c>
      <c r="L27">
        <v>7.25</v>
      </c>
      <c r="M27">
        <v>18</v>
      </c>
      <c r="N27">
        <v>58.55</v>
      </c>
      <c r="O27">
        <v>30268.74</v>
      </c>
      <c r="P27">
        <v>185.61</v>
      </c>
      <c r="Q27">
        <v>988.11</v>
      </c>
      <c r="R27">
        <v>49.12</v>
      </c>
      <c r="S27">
        <v>35.43</v>
      </c>
      <c r="T27">
        <v>5772.79</v>
      </c>
      <c r="U27">
        <v>0.72</v>
      </c>
      <c r="V27">
        <v>0.87</v>
      </c>
      <c r="W27">
        <v>3</v>
      </c>
      <c r="X27">
        <v>0.37</v>
      </c>
      <c r="Y27">
        <v>1</v>
      </c>
      <c r="Z27">
        <v>10</v>
      </c>
    </row>
    <row r="28" spans="1:26" x14ac:dyDescent="0.3">
      <c r="A28">
        <v>26</v>
      </c>
      <c r="B28">
        <v>120</v>
      </c>
      <c r="C28" t="s">
        <v>26</v>
      </c>
      <c r="D28">
        <v>5.9936999999999996</v>
      </c>
      <c r="E28">
        <v>16.68</v>
      </c>
      <c r="F28">
        <v>13.11</v>
      </c>
      <c r="G28">
        <v>41.4</v>
      </c>
      <c r="H28">
        <v>0.55000000000000004</v>
      </c>
      <c r="I28">
        <v>19</v>
      </c>
      <c r="J28">
        <v>243.96</v>
      </c>
      <c r="K28">
        <v>57.72</v>
      </c>
      <c r="L28">
        <v>7.5</v>
      </c>
      <c r="M28">
        <v>17</v>
      </c>
      <c r="N28">
        <v>58.74</v>
      </c>
      <c r="O28">
        <v>30323.11</v>
      </c>
      <c r="P28">
        <v>184.6</v>
      </c>
      <c r="Q28">
        <v>988.13</v>
      </c>
      <c r="R28">
        <v>48.85</v>
      </c>
      <c r="S28">
        <v>35.43</v>
      </c>
      <c r="T28">
        <v>5640.79</v>
      </c>
      <c r="U28">
        <v>0.73</v>
      </c>
      <c r="V28">
        <v>0.87</v>
      </c>
      <c r="W28">
        <v>2.99</v>
      </c>
      <c r="X28">
        <v>0.36</v>
      </c>
      <c r="Y28">
        <v>1</v>
      </c>
      <c r="Z28">
        <v>10</v>
      </c>
    </row>
    <row r="29" spans="1:26" x14ac:dyDescent="0.3">
      <c r="A29">
        <v>27</v>
      </c>
      <c r="B29">
        <v>120</v>
      </c>
      <c r="C29" t="s">
        <v>26</v>
      </c>
      <c r="D29">
        <v>6.0148999999999999</v>
      </c>
      <c r="E29">
        <v>16.63</v>
      </c>
      <c r="F29">
        <v>13.1</v>
      </c>
      <c r="G29">
        <v>43.65</v>
      </c>
      <c r="H29">
        <v>0.56000000000000005</v>
      </c>
      <c r="I29">
        <v>18</v>
      </c>
      <c r="J29">
        <v>244.41</v>
      </c>
      <c r="K29">
        <v>57.72</v>
      </c>
      <c r="L29">
        <v>7.75</v>
      </c>
      <c r="M29">
        <v>16</v>
      </c>
      <c r="N29">
        <v>58.93</v>
      </c>
      <c r="O29">
        <v>30377.55</v>
      </c>
      <c r="P29">
        <v>183.43</v>
      </c>
      <c r="Q29">
        <v>988.1</v>
      </c>
      <c r="R29">
        <v>48.41</v>
      </c>
      <c r="S29">
        <v>35.43</v>
      </c>
      <c r="T29">
        <v>5425.19</v>
      </c>
      <c r="U29">
        <v>0.73</v>
      </c>
      <c r="V29">
        <v>0.87</v>
      </c>
      <c r="W29">
        <v>2.99</v>
      </c>
      <c r="X29">
        <v>0.34</v>
      </c>
      <c r="Y29">
        <v>1</v>
      </c>
      <c r="Z29">
        <v>10</v>
      </c>
    </row>
    <row r="30" spans="1:26" x14ac:dyDescent="0.3">
      <c r="A30">
        <v>28</v>
      </c>
      <c r="B30">
        <v>120</v>
      </c>
      <c r="C30" t="s">
        <v>26</v>
      </c>
      <c r="D30">
        <v>6.0163000000000002</v>
      </c>
      <c r="E30">
        <v>16.62</v>
      </c>
      <c r="F30">
        <v>13.09</v>
      </c>
      <c r="G30">
        <v>43.64</v>
      </c>
      <c r="H30">
        <v>0.57999999999999996</v>
      </c>
      <c r="I30">
        <v>18</v>
      </c>
      <c r="J30">
        <v>244.85</v>
      </c>
      <c r="K30">
        <v>57.72</v>
      </c>
      <c r="L30">
        <v>8</v>
      </c>
      <c r="M30">
        <v>16</v>
      </c>
      <c r="N30">
        <v>59.12</v>
      </c>
      <c r="O30">
        <v>30432.06</v>
      </c>
      <c r="P30">
        <v>182.51</v>
      </c>
      <c r="Q30">
        <v>988.17</v>
      </c>
      <c r="R30">
        <v>48.23</v>
      </c>
      <c r="S30">
        <v>35.43</v>
      </c>
      <c r="T30">
        <v>5338.23</v>
      </c>
      <c r="U30">
        <v>0.73</v>
      </c>
      <c r="V30">
        <v>0.87</v>
      </c>
      <c r="W30">
        <v>2.99</v>
      </c>
      <c r="X30">
        <v>0.34</v>
      </c>
      <c r="Y30">
        <v>1</v>
      </c>
      <c r="Z30">
        <v>10</v>
      </c>
    </row>
    <row r="31" spans="1:26" x14ac:dyDescent="0.3">
      <c r="A31">
        <v>29</v>
      </c>
      <c r="B31">
        <v>120</v>
      </c>
      <c r="C31" t="s">
        <v>26</v>
      </c>
      <c r="D31">
        <v>6.0426000000000002</v>
      </c>
      <c r="E31">
        <v>16.55</v>
      </c>
      <c r="F31">
        <v>13.07</v>
      </c>
      <c r="G31">
        <v>46.11</v>
      </c>
      <c r="H31">
        <v>0.6</v>
      </c>
      <c r="I31">
        <v>17</v>
      </c>
      <c r="J31">
        <v>245.29</v>
      </c>
      <c r="K31">
        <v>57.72</v>
      </c>
      <c r="L31">
        <v>8.25</v>
      </c>
      <c r="M31">
        <v>15</v>
      </c>
      <c r="N31">
        <v>59.32</v>
      </c>
      <c r="O31">
        <v>30486.639999999999</v>
      </c>
      <c r="P31">
        <v>180.48</v>
      </c>
      <c r="Q31">
        <v>988.16</v>
      </c>
      <c r="R31">
        <v>47.43</v>
      </c>
      <c r="S31">
        <v>35.43</v>
      </c>
      <c r="T31">
        <v>4941.88</v>
      </c>
      <c r="U31">
        <v>0.75</v>
      </c>
      <c r="V31">
        <v>0.87</v>
      </c>
      <c r="W31">
        <v>2.99</v>
      </c>
      <c r="X31">
        <v>0.31</v>
      </c>
      <c r="Y31">
        <v>1</v>
      </c>
      <c r="Z31">
        <v>10</v>
      </c>
    </row>
    <row r="32" spans="1:26" x14ac:dyDescent="0.3">
      <c r="A32">
        <v>30</v>
      </c>
      <c r="B32">
        <v>120</v>
      </c>
      <c r="C32" t="s">
        <v>26</v>
      </c>
      <c r="D32">
        <v>6.0392000000000001</v>
      </c>
      <c r="E32">
        <v>16.559999999999999</v>
      </c>
      <c r="F32">
        <v>13.08</v>
      </c>
      <c r="G32">
        <v>46.15</v>
      </c>
      <c r="H32">
        <v>0.62</v>
      </c>
      <c r="I32">
        <v>17</v>
      </c>
      <c r="J32">
        <v>245.73</v>
      </c>
      <c r="K32">
        <v>57.72</v>
      </c>
      <c r="L32">
        <v>8.5</v>
      </c>
      <c r="M32">
        <v>15</v>
      </c>
      <c r="N32">
        <v>59.51</v>
      </c>
      <c r="O32">
        <v>30541.29</v>
      </c>
      <c r="P32">
        <v>179.83</v>
      </c>
      <c r="Q32">
        <v>988.1</v>
      </c>
      <c r="R32">
        <v>47.63</v>
      </c>
      <c r="S32">
        <v>35.43</v>
      </c>
      <c r="T32">
        <v>5041.99</v>
      </c>
      <c r="U32">
        <v>0.74</v>
      </c>
      <c r="V32">
        <v>0.87</v>
      </c>
      <c r="W32">
        <v>3</v>
      </c>
      <c r="X32">
        <v>0.32</v>
      </c>
      <c r="Y32">
        <v>1</v>
      </c>
      <c r="Z32">
        <v>10</v>
      </c>
    </row>
    <row r="33" spans="1:26" x14ac:dyDescent="0.3">
      <c r="A33">
        <v>31</v>
      </c>
      <c r="B33">
        <v>120</v>
      </c>
      <c r="C33" t="s">
        <v>26</v>
      </c>
      <c r="D33">
        <v>6.0618999999999996</v>
      </c>
      <c r="E33">
        <v>16.5</v>
      </c>
      <c r="F33">
        <v>13.06</v>
      </c>
      <c r="G33">
        <v>48.97</v>
      </c>
      <c r="H33">
        <v>0.63</v>
      </c>
      <c r="I33">
        <v>16</v>
      </c>
      <c r="J33">
        <v>246.18</v>
      </c>
      <c r="K33">
        <v>57.72</v>
      </c>
      <c r="L33">
        <v>8.75</v>
      </c>
      <c r="M33">
        <v>14</v>
      </c>
      <c r="N33">
        <v>59.7</v>
      </c>
      <c r="O33">
        <v>30596.01</v>
      </c>
      <c r="P33">
        <v>179.57</v>
      </c>
      <c r="Q33">
        <v>988.34</v>
      </c>
      <c r="R33">
        <v>47.08</v>
      </c>
      <c r="S33">
        <v>35.43</v>
      </c>
      <c r="T33">
        <v>4769.53</v>
      </c>
      <c r="U33">
        <v>0.75</v>
      </c>
      <c r="V33">
        <v>0.87</v>
      </c>
      <c r="W33">
        <v>2.99</v>
      </c>
      <c r="X33">
        <v>0.3</v>
      </c>
      <c r="Y33">
        <v>1</v>
      </c>
      <c r="Z33">
        <v>10</v>
      </c>
    </row>
    <row r="34" spans="1:26" x14ac:dyDescent="0.3">
      <c r="A34">
        <v>32</v>
      </c>
      <c r="B34">
        <v>120</v>
      </c>
      <c r="C34" t="s">
        <v>26</v>
      </c>
      <c r="D34">
        <v>6.0624000000000002</v>
      </c>
      <c r="E34">
        <v>16.5</v>
      </c>
      <c r="F34">
        <v>13.06</v>
      </c>
      <c r="G34">
        <v>48.96</v>
      </c>
      <c r="H34">
        <v>0.65</v>
      </c>
      <c r="I34">
        <v>16</v>
      </c>
      <c r="J34">
        <v>246.62</v>
      </c>
      <c r="K34">
        <v>57.72</v>
      </c>
      <c r="L34">
        <v>9</v>
      </c>
      <c r="M34">
        <v>14</v>
      </c>
      <c r="N34">
        <v>59.9</v>
      </c>
      <c r="O34">
        <v>30650.799999999999</v>
      </c>
      <c r="P34">
        <v>178.35</v>
      </c>
      <c r="Q34">
        <v>988.25</v>
      </c>
      <c r="R34">
        <v>47.29</v>
      </c>
      <c r="S34">
        <v>35.43</v>
      </c>
      <c r="T34">
        <v>4876.05</v>
      </c>
      <c r="U34">
        <v>0.75</v>
      </c>
      <c r="V34">
        <v>0.87</v>
      </c>
      <c r="W34">
        <v>2.99</v>
      </c>
      <c r="X34">
        <v>0.3</v>
      </c>
      <c r="Y34">
        <v>1</v>
      </c>
      <c r="Z34">
        <v>10</v>
      </c>
    </row>
    <row r="35" spans="1:26" x14ac:dyDescent="0.3">
      <c r="A35">
        <v>33</v>
      </c>
      <c r="B35">
        <v>120</v>
      </c>
      <c r="C35" t="s">
        <v>26</v>
      </c>
      <c r="D35">
        <v>6.0849000000000002</v>
      </c>
      <c r="E35">
        <v>16.43</v>
      </c>
      <c r="F35">
        <v>13.04</v>
      </c>
      <c r="G35">
        <v>52.17</v>
      </c>
      <c r="H35">
        <v>0.67</v>
      </c>
      <c r="I35">
        <v>15</v>
      </c>
      <c r="J35">
        <v>247.07</v>
      </c>
      <c r="K35">
        <v>57.72</v>
      </c>
      <c r="L35">
        <v>9.25</v>
      </c>
      <c r="M35">
        <v>13</v>
      </c>
      <c r="N35">
        <v>60.09</v>
      </c>
      <c r="O35">
        <v>30705.66</v>
      </c>
      <c r="P35">
        <v>177.22</v>
      </c>
      <c r="Q35">
        <v>988.11</v>
      </c>
      <c r="R35">
        <v>46.74</v>
      </c>
      <c r="S35">
        <v>35.43</v>
      </c>
      <c r="T35">
        <v>4608.3500000000004</v>
      </c>
      <c r="U35">
        <v>0.76</v>
      </c>
      <c r="V35">
        <v>0.87</v>
      </c>
      <c r="W35">
        <v>2.99</v>
      </c>
      <c r="X35">
        <v>0.28999999999999998</v>
      </c>
      <c r="Y35">
        <v>1</v>
      </c>
      <c r="Z35">
        <v>10</v>
      </c>
    </row>
    <row r="36" spans="1:26" x14ac:dyDescent="0.3">
      <c r="A36">
        <v>34</v>
      </c>
      <c r="B36">
        <v>120</v>
      </c>
      <c r="C36" t="s">
        <v>26</v>
      </c>
      <c r="D36">
        <v>6.0902000000000003</v>
      </c>
      <c r="E36">
        <v>16.420000000000002</v>
      </c>
      <c r="F36">
        <v>13.03</v>
      </c>
      <c r="G36">
        <v>52.11</v>
      </c>
      <c r="H36">
        <v>0.68</v>
      </c>
      <c r="I36">
        <v>15</v>
      </c>
      <c r="J36">
        <v>247.51</v>
      </c>
      <c r="K36">
        <v>57.72</v>
      </c>
      <c r="L36">
        <v>9.5</v>
      </c>
      <c r="M36">
        <v>13</v>
      </c>
      <c r="N36">
        <v>60.29</v>
      </c>
      <c r="O36">
        <v>30760.6</v>
      </c>
      <c r="P36">
        <v>176.31</v>
      </c>
      <c r="Q36">
        <v>988.28</v>
      </c>
      <c r="R36">
        <v>46.25</v>
      </c>
      <c r="S36">
        <v>35.43</v>
      </c>
      <c r="T36">
        <v>4359.43</v>
      </c>
      <c r="U36">
        <v>0.77</v>
      </c>
      <c r="V36">
        <v>0.87</v>
      </c>
      <c r="W36">
        <v>2.99</v>
      </c>
      <c r="X36">
        <v>0.27</v>
      </c>
      <c r="Y36">
        <v>1</v>
      </c>
      <c r="Z36">
        <v>10</v>
      </c>
    </row>
    <row r="37" spans="1:26" x14ac:dyDescent="0.3">
      <c r="A37">
        <v>35</v>
      </c>
      <c r="B37">
        <v>120</v>
      </c>
      <c r="C37" t="s">
        <v>26</v>
      </c>
      <c r="D37">
        <v>6.1142000000000003</v>
      </c>
      <c r="E37">
        <v>16.36</v>
      </c>
      <c r="F37">
        <v>13.01</v>
      </c>
      <c r="G37">
        <v>55.75</v>
      </c>
      <c r="H37">
        <v>0.7</v>
      </c>
      <c r="I37">
        <v>14</v>
      </c>
      <c r="J37">
        <v>247.96</v>
      </c>
      <c r="K37">
        <v>57.72</v>
      </c>
      <c r="L37">
        <v>9.75</v>
      </c>
      <c r="M37">
        <v>12</v>
      </c>
      <c r="N37">
        <v>60.48</v>
      </c>
      <c r="O37">
        <v>30815.599999999999</v>
      </c>
      <c r="P37">
        <v>174.91</v>
      </c>
      <c r="Q37">
        <v>988.08</v>
      </c>
      <c r="R37">
        <v>45.57</v>
      </c>
      <c r="S37">
        <v>35.43</v>
      </c>
      <c r="T37">
        <v>4025.04</v>
      </c>
      <c r="U37">
        <v>0.78</v>
      </c>
      <c r="V37">
        <v>0.88</v>
      </c>
      <c r="W37">
        <v>2.99</v>
      </c>
      <c r="X37">
        <v>0.26</v>
      </c>
      <c r="Y37">
        <v>1</v>
      </c>
      <c r="Z37">
        <v>10</v>
      </c>
    </row>
    <row r="38" spans="1:26" x14ac:dyDescent="0.3">
      <c r="A38">
        <v>36</v>
      </c>
      <c r="B38">
        <v>120</v>
      </c>
      <c r="C38" t="s">
        <v>26</v>
      </c>
      <c r="D38">
        <v>6.1146000000000003</v>
      </c>
      <c r="E38">
        <v>16.350000000000001</v>
      </c>
      <c r="F38">
        <v>13.01</v>
      </c>
      <c r="G38">
        <v>55.75</v>
      </c>
      <c r="H38">
        <v>0.72</v>
      </c>
      <c r="I38">
        <v>14</v>
      </c>
      <c r="J38">
        <v>248.4</v>
      </c>
      <c r="K38">
        <v>57.72</v>
      </c>
      <c r="L38">
        <v>10</v>
      </c>
      <c r="M38">
        <v>12</v>
      </c>
      <c r="N38">
        <v>60.68</v>
      </c>
      <c r="O38">
        <v>30870.67</v>
      </c>
      <c r="P38">
        <v>174.65</v>
      </c>
      <c r="Q38">
        <v>988.08</v>
      </c>
      <c r="R38">
        <v>45.69</v>
      </c>
      <c r="S38">
        <v>35.43</v>
      </c>
      <c r="T38">
        <v>4086.99</v>
      </c>
      <c r="U38">
        <v>0.78</v>
      </c>
      <c r="V38">
        <v>0.88</v>
      </c>
      <c r="W38">
        <v>2.99</v>
      </c>
      <c r="X38">
        <v>0.25</v>
      </c>
      <c r="Y38">
        <v>1</v>
      </c>
      <c r="Z38">
        <v>10</v>
      </c>
    </row>
    <row r="39" spans="1:26" x14ac:dyDescent="0.3">
      <c r="A39">
        <v>37</v>
      </c>
      <c r="B39">
        <v>120</v>
      </c>
      <c r="C39" t="s">
        <v>26</v>
      </c>
      <c r="D39">
        <v>6.1420000000000003</v>
      </c>
      <c r="E39">
        <v>16.28</v>
      </c>
      <c r="F39">
        <v>12.98</v>
      </c>
      <c r="G39">
        <v>59.91</v>
      </c>
      <c r="H39">
        <v>0.73</v>
      </c>
      <c r="I39">
        <v>13</v>
      </c>
      <c r="J39">
        <v>248.85</v>
      </c>
      <c r="K39">
        <v>57.72</v>
      </c>
      <c r="L39">
        <v>10.25</v>
      </c>
      <c r="M39">
        <v>11</v>
      </c>
      <c r="N39">
        <v>60.88</v>
      </c>
      <c r="O39">
        <v>30925.82</v>
      </c>
      <c r="P39">
        <v>171.94</v>
      </c>
      <c r="Q39">
        <v>988.08</v>
      </c>
      <c r="R39">
        <v>44.81</v>
      </c>
      <c r="S39">
        <v>35.43</v>
      </c>
      <c r="T39">
        <v>3650.78</v>
      </c>
      <c r="U39">
        <v>0.79</v>
      </c>
      <c r="V39">
        <v>0.88</v>
      </c>
      <c r="W39">
        <v>2.98</v>
      </c>
      <c r="X39">
        <v>0.23</v>
      </c>
      <c r="Y39">
        <v>1</v>
      </c>
      <c r="Z39">
        <v>10</v>
      </c>
    </row>
    <row r="40" spans="1:26" x14ac:dyDescent="0.3">
      <c r="A40">
        <v>38</v>
      </c>
      <c r="B40">
        <v>120</v>
      </c>
      <c r="C40" t="s">
        <v>26</v>
      </c>
      <c r="D40">
        <v>6.1353</v>
      </c>
      <c r="E40">
        <v>16.3</v>
      </c>
      <c r="F40">
        <v>13</v>
      </c>
      <c r="G40">
        <v>59.99</v>
      </c>
      <c r="H40">
        <v>0.75</v>
      </c>
      <c r="I40">
        <v>13</v>
      </c>
      <c r="J40">
        <v>249.3</v>
      </c>
      <c r="K40">
        <v>57.72</v>
      </c>
      <c r="L40">
        <v>10.5</v>
      </c>
      <c r="M40">
        <v>11</v>
      </c>
      <c r="N40">
        <v>61.07</v>
      </c>
      <c r="O40">
        <v>30981.040000000001</v>
      </c>
      <c r="P40">
        <v>171.68</v>
      </c>
      <c r="Q40">
        <v>988.13</v>
      </c>
      <c r="R40">
        <v>45.48</v>
      </c>
      <c r="S40">
        <v>35.43</v>
      </c>
      <c r="T40">
        <v>3986.87</v>
      </c>
      <c r="U40">
        <v>0.78</v>
      </c>
      <c r="V40">
        <v>0.88</v>
      </c>
      <c r="W40">
        <v>2.98</v>
      </c>
      <c r="X40">
        <v>0.24</v>
      </c>
      <c r="Y40">
        <v>1</v>
      </c>
      <c r="Z40">
        <v>10</v>
      </c>
    </row>
    <row r="41" spans="1:26" x14ac:dyDescent="0.3">
      <c r="A41">
        <v>39</v>
      </c>
      <c r="B41">
        <v>120</v>
      </c>
      <c r="C41" t="s">
        <v>26</v>
      </c>
      <c r="D41">
        <v>6.1360999999999999</v>
      </c>
      <c r="E41">
        <v>16.3</v>
      </c>
      <c r="F41">
        <v>13</v>
      </c>
      <c r="G41">
        <v>59.98</v>
      </c>
      <c r="H41">
        <v>0.77</v>
      </c>
      <c r="I41">
        <v>13</v>
      </c>
      <c r="J41">
        <v>249.75</v>
      </c>
      <c r="K41">
        <v>57.72</v>
      </c>
      <c r="L41">
        <v>10.75</v>
      </c>
      <c r="M41">
        <v>11</v>
      </c>
      <c r="N41">
        <v>61.27</v>
      </c>
      <c r="O41">
        <v>31036.33</v>
      </c>
      <c r="P41">
        <v>171.55</v>
      </c>
      <c r="Q41">
        <v>988.14</v>
      </c>
      <c r="R41">
        <v>45.31</v>
      </c>
      <c r="S41">
        <v>35.43</v>
      </c>
      <c r="T41">
        <v>3899.09</v>
      </c>
      <c r="U41">
        <v>0.78</v>
      </c>
      <c r="V41">
        <v>0.88</v>
      </c>
      <c r="W41">
        <v>2.98</v>
      </c>
      <c r="X41">
        <v>0.24</v>
      </c>
      <c r="Y41">
        <v>1</v>
      </c>
      <c r="Z41">
        <v>10</v>
      </c>
    </row>
    <row r="42" spans="1:26" x14ac:dyDescent="0.3">
      <c r="A42">
        <v>40</v>
      </c>
      <c r="B42">
        <v>120</v>
      </c>
      <c r="C42" t="s">
        <v>26</v>
      </c>
      <c r="D42">
        <v>6.1624999999999996</v>
      </c>
      <c r="E42">
        <v>16.23</v>
      </c>
      <c r="F42">
        <v>12.97</v>
      </c>
      <c r="G42">
        <v>64.86</v>
      </c>
      <c r="H42">
        <v>0.78</v>
      </c>
      <c r="I42">
        <v>12</v>
      </c>
      <c r="J42">
        <v>250.2</v>
      </c>
      <c r="K42">
        <v>57.72</v>
      </c>
      <c r="L42">
        <v>11</v>
      </c>
      <c r="M42">
        <v>10</v>
      </c>
      <c r="N42">
        <v>61.47</v>
      </c>
      <c r="O42">
        <v>31091.69</v>
      </c>
      <c r="P42">
        <v>168.98</v>
      </c>
      <c r="Q42">
        <v>988.12</v>
      </c>
      <c r="R42">
        <v>44.5</v>
      </c>
      <c r="S42">
        <v>35.43</v>
      </c>
      <c r="T42">
        <v>3499.64</v>
      </c>
      <c r="U42">
        <v>0.8</v>
      </c>
      <c r="V42">
        <v>0.88</v>
      </c>
      <c r="W42">
        <v>2.98</v>
      </c>
      <c r="X42">
        <v>0.22</v>
      </c>
      <c r="Y42">
        <v>1</v>
      </c>
      <c r="Z42">
        <v>10</v>
      </c>
    </row>
    <row r="43" spans="1:26" x14ac:dyDescent="0.3">
      <c r="A43">
        <v>41</v>
      </c>
      <c r="B43">
        <v>120</v>
      </c>
      <c r="C43" t="s">
        <v>26</v>
      </c>
      <c r="D43">
        <v>6.1638000000000002</v>
      </c>
      <c r="E43">
        <v>16.22</v>
      </c>
      <c r="F43">
        <v>12.97</v>
      </c>
      <c r="G43">
        <v>64.84</v>
      </c>
      <c r="H43">
        <v>0.8</v>
      </c>
      <c r="I43">
        <v>12</v>
      </c>
      <c r="J43">
        <v>250.65</v>
      </c>
      <c r="K43">
        <v>57.72</v>
      </c>
      <c r="L43">
        <v>11.25</v>
      </c>
      <c r="M43">
        <v>10</v>
      </c>
      <c r="N43">
        <v>61.67</v>
      </c>
      <c r="O43">
        <v>31147.119999999999</v>
      </c>
      <c r="P43">
        <v>168.56</v>
      </c>
      <c r="Q43">
        <v>988.08</v>
      </c>
      <c r="R43">
        <v>44.46</v>
      </c>
      <c r="S43">
        <v>35.43</v>
      </c>
      <c r="T43">
        <v>3482.63</v>
      </c>
      <c r="U43">
        <v>0.8</v>
      </c>
      <c r="V43">
        <v>0.88</v>
      </c>
      <c r="W43">
        <v>2.98</v>
      </c>
      <c r="X43">
        <v>0.21</v>
      </c>
      <c r="Y43">
        <v>1</v>
      </c>
      <c r="Z43">
        <v>10</v>
      </c>
    </row>
    <row r="44" spans="1:26" x14ac:dyDescent="0.3">
      <c r="A44">
        <v>42</v>
      </c>
      <c r="B44">
        <v>120</v>
      </c>
      <c r="C44" t="s">
        <v>26</v>
      </c>
      <c r="D44">
        <v>6.1673999999999998</v>
      </c>
      <c r="E44">
        <v>16.21</v>
      </c>
      <c r="F44">
        <v>12.96</v>
      </c>
      <c r="G44">
        <v>64.790000000000006</v>
      </c>
      <c r="H44">
        <v>0.81</v>
      </c>
      <c r="I44">
        <v>12</v>
      </c>
      <c r="J44">
        <v>251.1</v>
      </c>
      <c r="K44">
        <v>57.72</v>
      </c>
      <c r="L44">
        <v>11.5</v>
      </c>
      <c r="M44">
        <v>10</v>
      </c>
      <c r="N44">
        <v>61.87</v>
      </c>
      <c r="O44">
        <v>31202.63</v>
      </c>
      <c r="P44">
        <v>167.81</v>
      </c>
      <c r="Q44">
        <v>988.15</v>
      </c>
      <c r="R44">
        <v>44.08</v>
      </c>
      <c r="S44">
        <v>35.43</v>
      </c>
      <c r="T44">
        <v>3291.46</v>
      </c>
      <c r="U44">
        <v>0.8</v>
      </c>
      <c r="V44">
        <v>0.88</v>
      </c>
      <c r="W44">
        <v>2.98</v>
      </c>
      <c r="X44">
        <v>0.2</v>
      </c>
      <c r="Y44">
        <v>1</v>
      </c>
      <c r="Z44">
        <v>10</v>
      </c>
    </row>
    <row r="45" spans="1:26" x14ac:dyDescent="0.3">
      <c r="A45">
        <v>43</v>
      </c>
      <c r="B45">
        <v>120</v>
      </c>
      <c r="C45" t="s">
        <v>26</v>
      </c>
      <c r="D45">
        <v>6.1615000000000002</v>
      </c>
      <c r="E45">
        <v>16.23</v>
      </c>
      <c r="F45">
        <v>12.97</v>
      </c>
      <c r="G45">
        <v>64.87</v>
      </c>
      <c r="H45">
        <v>0.83</v>
      </c>
      <c r="I45">
        <v>12</v>
      </c>
      <c r="J45">
        <v>251.55</v>
      </c>
      <c r="K45">
        <v>57.72</v>
      </c>
      <c r="L45">
        <v>11.75</v>
      </c>
      <c r="M45">
        <v>10</v>
      </c>
      <c r="N45">
        <v>62.07</v>
      </c>
      <c r="O45">
        <v>31258.21</v>
      </c>
      <c r="P45">
        <v>166.91</v>
      </c>
      <c r="Q45">
        <v>988.15</v>
      </c>
      <c r="R45">
        <v>44.58</v>
      </c>
      <c r="S45">
        <v>35.43</v>
      </c>
      <c r="T45">
        <v>3540.66</v>
      </c>
      <c r="U45">
        <v>0.79</v>
      </c>
      <c r="V45">
        <v>0.88</v>
      </c>
      <c r="W45">
        <v>2.99</v>
      </c>
      <c r="X45">
        <v>0.22</v>
      </c>
      <c r="Y45">
        <v>1</v>
      </c>
      <c r="Z45">
        <v>10</v>
      </c>
    </row>
    <row r="46" spans="1:26" x14ac:dyDescent="0.3">
      <c r="A46">
        <v>44</v>
      </c>
      <c r="B46">
        <v>120</v>
      </c>
      <c r="C46" t="s">
        <v>26</v>
      </c>
      <c r="D46">
        <v>6.1848000000000001</v>
      </c>
      <c r="E46">
        <v>16.170000000000002</v>
      </c>
      <c r="F46">
        <v>12.96</v>
      </c>
      <c r="G46">
        <v>70.680000000000007</v>
      </c>
      <c r="H46">
        <v>0.85</v>
      </c>
      <c r="I46">
        <v>11</v>
      </c>
      <c r="J46">
        <v>252</v>
      </c>
      <c r="K46">
        <v>57.72</v>
      </c>
      <c r="L46">
        <v>12</v>
      </c>
      <c r="M46">
        <v>9</v>
      </c>
      <c r="N46">
        <v>62.27</v>
      </c>
      <c r="O46">
        <v>31313.87</v>
      </c>
      <c r="P46">
        <v>165.64</v>
      </c>
      <c r="Q46">
        <v>988.08</v>
      </c>
      <c r="R46">
        <v>44.14</v>
      </c>
      <c r="S46">
        <v>35.43</v>
      </c>
      <c r="T46">
        <v>3325.06</v>
      </c>
      <c r="U46">
        <v>0.8</v>
      </c>
      <c r="V46">
        <v>0.88</v>
      </c>
      <c r="W46">
        <v>2.98</v>
      </c>
      <c r="X46">
        <v>0.21</v>
      </c>
      <c r="Y46">
        <v>1</v>
      </c>
      <c r="Z46">
        <v>10</v>
      </c>
    </row>
    <row r="47" spans="1:26" x14ac:dyDescent="0.3">
      <c r="A47">
        <v>45</v>
      </c>
      <c r="B47">
        <v>120</v>
      </c>
      <c r="C47" t="s">
        <v>26</v>
      </c>
      <c r="D47">
        <v>6.1898</v>
      </c>
      <c r="E47">
        <v>16.16</v>
      </c>
      <c r="F47">
        <v>12.95</v>
      </c>
      <c r="G47">
        <v>70.61</v>
      </c>
      <c r="H47">
        <v>0.86</v>
      </c>
      <c r="I47">
        <v>11</v>
      </c>
      <c r="J47">
        <v>252.45</v>
      </c>
      <c r="K47">
        <v>57.72</v>
      </c>
      <c r="L47">
        <v>12.25</v>
      </c>
      <c r="M47">
        <v>9</v>
      </c>
      <c r="N47">
        <v>62.48</v>
      </c>
      <c r="O47">
        <v>31369.599999999999</v>
      </c>
      <c r="P47">
        <v>164.87</v>
      </c>
      <c r="Q47">
        <v>988.09</v>
      </c>
      <c r="R47">
        <v>43.8</v>
      </c>
      <c r="S47">
        <v>35.43</v>
      </c>
      <c r="T47">
        <v>3153.99</v>
      </c>
      <c r="U47">
        <v>0.81</v>
      </c>
      <c r="V47">
        <v>0.88</v>
      </c>
      <c r="W47">
        <v>2.98</v>
      </c>
      <c r="X47">
        <v>0.19</v>
      </c>
      <c r="Y47">
        <v>1</v>
      </c>
      <c r="Z47">
        <v>10</v>
      </c>
    </row>
    <row r="48" spans="1:26" x14ac:dyDescent="0.3">
      <c r="A48">
        <v>46</v>
      </c>
      <c r="B48">
        <v>120</v>
      </c>
      <c r="C48" t="s">
        <v>26</v>
      </c>
      <c r="D48">
        <v>6.1898999999999997</v>
      </c>
      <c r="E48">
        <v>16.16</v>
      </c>
      <c r="F48">
        <v>12.95</v>
      </c>
      <c r="G48">
        <v>70.61</v>
      </c>
      <c r="H48">
        <v>0.88</v>
      </c>
      <c r="I48">
        <v>11</v>
      </c>
      <c r="J48">
        <v>252.9</v>
      </c>
      <c r="K48">
        <v>57.72</v>
      </c>
      <c r="L48">
        <v>12.5</v>
      </c>
      <c r="M48">
        <v>9</v>
      </c>
      <c r="N48">
        <v>62.68</v>
      </c>
      <c r="O48">
        <v>31425.4</v>
      </c>
      <c r="P48">
        <v>163.77000000000001</v>
      </c>
      <c r="Q48">
        <v>988.08</v>
      </c>
      <c r="R48">
        <v>43.79</v>
      </c>
      <c r="S48">
        <v>35.43</v>
      </c>
      <c r="T48">
        <v>3150.61</v>
      </c>
      <c r="U48">
        <v>0.81</v>
      </c>
      <c r="V48">
        <v>0.88</v>
      </c>
      <c r="W48">
        <v>2.98</v>
      </c>
      <c r="X48">
        <v>0.19</v>
      </c>
      <c r="Y48">
        <v>1</v>
      </c>
      <c r="Z48">
        <v>10</v>
      </c>
    </row>
    <row r="49" spans="1:26" x14ac:dyDescent="0.3">
      <c r="A49">
        <v>47</v>
      </c>
      <c r="B49">
        <v>120</v>
      </c>
      <c r="C49" t="s">
        <v>26</v>
      </c>
      <c r="D49">
        <v>6.1901999999999999</v>
      </c>
      <c r="E49">
        <v>16.149999999999999</v>
      </c>
      <c r="F49">
        <v>12.94</v>
      </c>
      <c r="G49">
        <v>70.61</v>
      </c>
      <c r="H49">
        <v>0.9</v>
      </c>
      <c r="I49">
        <v>11</v>
      </c>
      <c r="J49">
        <v>253.35</v>
      </c>
      <c r="K49">
        <v>57.72</v>
      </c>
      <c r="L49">
        <v>12.75</v>
      </c>
      <c r="M49">
        <v>9</v>
      </c>
      <c r="N49">
        <v>62.88</v>
      </c>
      <c r="O49">
        <v>31481.279999999999</v>
      </c>
      <c r="P49">
        <v>161.01</v>
      </c>
      <c r="Q49">
        <v>988.08</v>
      </c>
      <c r="R49">
        <v>43.67</v>
      </c>
      <c r="S49">
        <v>35.43</v>
      </c>
      <c r="T49">
        <v>3090.84</v>
      </c>
      <c r="U49">
        <v>0.81</v>
      </c>
      <c r="V49">
        <v>0.88</v>
      </c>
      <c r="W49">
        <v>2.98</v>
      </c>
      <c r="X49">
        <v>0.19</v>
      </c>
      <c r="Y49">
        <v>1</v>
      </c>
      <c r="Z49">
        <v>10</v>
      </c>
    </row>
    <row r="50" spans="1:26" x14ac:dyDescent="0.3">
      <c r="A50">
        <v>48</v>
      </c>
      <c r="B50">
        <v>120</v>
      </c>
      <c r="C50" t="s">
        <v>26</v>
      </c>
      <c r="D50">
        <v>6.2150999999999996</v>
      </c>
      <c r="E50">
        <v>16.09</v>
      </c>
      <c r="F50">
        <v>12.93</v>
      </c>
      <c r="G50">
        <v>77.55</v>
      </c>
      <c r="H50">
        <v>0.91</v>
      </c>
      <c r="I50">
        <v>10</v>
      </c>
      <c r="J50">
        <v>253.81</v>
      </c>
      <c r="K50">
        <v>57.72</v>
      </c>
      <c r="L50">
        <v>13</v>
      </c>
      <c r="M50">
        <v>6</v>
      </c>
      <c r="N50">
        <v>63.08</v>
      </c>
      <c r="O50">
        <v>31537.23</v>
      </c>
      <c r="P50">
        <v>160.75</v>
      </c>
      <c r="Q50">
        <v>988.12</v>
      </c>
      <c r="R50">
        <v>43.09</v>
      </c>
      <c r="S50">
        <v>35.43</v>
      </c>
      <c r="T50">
        <v>2806.83</v>
      </c>
      <c r="U50">
        <v>0.82</v>
      </c>
      <c r="V50">
        <v>0.88</v>
      </c>
      <c r="W50">
        <v>2.98</v>
      </c>
      <c r="X50">
        <v>0.17</v>
      </c>
      <c r="Y50">
        <v>1</v>
      </c>
      <c r="Z50">
        <v>10</v>
      </c>
    </row>
    <row r="51" spans="1:26" x14ac:dyDescent="0.3">
      <c r="A51">
        <v>49</v>
      </c>
      <c r="B51">
        <v>120</v>
      </c>
      <c r="C51" t="s">
        <v>26</v>
      </c>
      <c r="D51">
        <v>6.2112999999999996</v>
      </c>
      <c r="E51">
        <v>16.100000000000001</v>
      </c>
      <c r="F51">
        <v>12.94</v>
      </c>
      <c r="G51">
        <v>77.61</v>
      </c>
      <c r="H51">
        <v>0.93</v>
      </c>
      <c r="I51">
        <v>10</v>
      </c>
      <c r="J51">
        <v>254.26</v>
      </c>
      <c r="K51">
        <v>57.72</v>
      </c>
      <c r="L51">
        <v>13.25</v>
      </c>
      <c r="M51">
        <v>5</v>
      </c>
      <c r="N51">
        <v>63.29</v>
      </c>
      <c r="O51">
        <v>31593.26</v>
      </c>
      <c r="P51">
        <v>159.63</v>
      </c>
      <c r="Q51">
        <v>988.15</v>
      </c>
      <c r="R51">
        <v>43.25</v>
      </c>
      <c r="S51">
        <v>35.43</v>
      </c>
      <c r="T51">
        <v>2885.77</v>
      </c>
      <c r="U51">
        <v>0.82</v>
      </c>
      <c r="V51">
        <v>0.88</v>
      </c>
      <c r="W51">
        <v>2.99</v>
      </c>
      <c r="X51">
        <v>0.18</v>
      </c>
      <c r="Y51">
        <v>1</v>
      </c>
      <c r="Z51">
        <v>10</v>
      </c>
    </row>
    <row r="52" spans="1:26" x14ac:dyDescent="0.3">
      <c r="A52">
        <v>50</v>
      </c>
      <c r="B52">
        <v>120</v>
      </c>
      <c r="C52" t="s">
        <v>26</v>
      </c>
      <c r="D52">
        <v>6.2103000000000002</v>
      </c>
      <c r="E52">
        <v>16.100000000000001</v>
      </c>
      <c r="F52">
        <v>12.94</v>
      </c>
      <c r="G52">
        <v>77.63</v>
      </c>
      <c r="H52">
        <v>0.94</v>
      </c>
      <c r="I52">
        <v>10</v>
      </c>
      <c r="J52">
        <v>254.72</v>
      </c>
      <c r="K52">
        <v>57.72</v>
      </c>
      <c r="L52">
        <v>13.5</v>
      </c>
      <c r="M52">
        <v>4</v>
      </c>
      <c r="N52">
        <v>63.49</v>
      </c>
      <c r="O52">
        <v>31649.360000000001</v>
      </c>
      <c r="P52">
        <v>158.86000000000001</v>
      </c>
      <c r="Q52">
        <v>988.12</v>
      </c>
      <c r="R52">
        <v>43.27</v>
      </c>
      <c r="S52">
        <v>35.43</v>
      </c>
      <c r="T52">
        <v>2898.31</v>
      </c>
      <c r="U52">
        <v>0.82</v>
      </c>
      <c r="V52">
        <v>0.88</v>
      </c>
      <c r="W52">
        <v>2.99</v>
      </c>
      <c r="X52">
        <v>0.18</v>
      </c>
      <c r="Y52">
        <v>1</v>
      </c>
      <c r="Z52">
        <v>10</v>
      </c>
    </row>
    <row r="53" spans="1:26" x14ac:dyDescent="0.3">
      <c r="A53">
        <v>51</v>
      </c>
      <c r="B53">
        <v>120</v>
      </c>
      <c r="C53" t="s">
        <v>26</v>
      </c>
      <c r="D53">
        <v>6.21</v>
      </c>
      <c r="E53">
        <v>16.100000000000001</v>
      </c>
      <c r="F53">
        <v>12.94</v>
      </c>
      <c r="G53">
        <v>77.63</v>
      </c>
      <c r="H53">
        <v>0.96</v>
      </c>
      <c r="I53">
        <v>10</v>
      </c>
      <c r="J53">
        <v>255.17</v>
      </c>
      <c r="K53">
        <v>57.72</v>
      </c>
      <c r="L53">
        <v>13.75</v>
      </c>
      <c r="M53">
        <v>4</v>
      </c>
      <c r="N53">
        <v>63.7</v>
      </c>
      <c r="O53">
        <v>31705.54</v>
      </c>
      <c r="P53">
        <v>158.99</v>
      </c>
      <c r="Q53">
        <v>988.11</v>
      </c>
      <c r="R53">
        <v>43.36</v>
      </c>
      <c r="S53">
        <v>35.43</v>
      </c>
      <c r="T53">
        <v>2942.39</v>
      </c>
      <c r="U53">
        <v>0.82</v>
      </c>
      <c r="V53">
        <v>0.88</v>
      </c>
      <c r="W53">
        <v>2.99</v>
      </c>
      <c r="X53">
        <v>0.18</v>
      </c>
      <c r="Y53">
        <v>1</v>
      </c>
      <c r="Z53">
        <v>10</v>
      </c>
    </row>
    <row r="54" spans="1:26" x14ac:dyDescent="0.3">
      <c r="A54">
        <v>52</v>
      </c>
      <c r="B54">
        <v>120</v>
      </c>
      <c r="C54" t="s">
        <v>26</v>
      </c>
      <c r="D54">
        <v>6.2119</v>
      </c>
      <c r="E54">
        <v>16.100000000000001</v>
      </c>
      <c r="F54">
        <v>12.93</v>
      </c>
      <c r="G54">
        <v>77.599999999999994</v>
      </c>
      <c r="H54">
        <v>0.97</v>
      </c>
      <c r="I54">
        <v>10</v>
      </c>
      <c r="J54">
        <v>255.63</v>
      </c>
      <c r="K54">
        <v>57.72</v>
      </c>
      <c r="L54">
        <v>14</v>
      </c>
      <c r="M54">
        <v>2</v>
      </c>
      <c r="N54">
        <v>63.91</v>
      </c>
      <c r="O54">
        <v>31761.8</v>
      </c>
      <c r="P54">
        <v>158.94999999999999</v>
      </c>
      <c r="Q54">
        <v>988.16</v>
      </c>
      <c r="R54">
        <v>43.2</v>
      </c>
      <c r="S54">
        <v>35.43</v>
      </c>
      <c r="T54">
        <v>2863.4</v>
      </c>
      <c r="U54">
        <v>0.82</v>
      </c>
      <c r="V54">
        <v>0.88</v>
      </c>
      <c r="W54">
        <v>2.98</v>
      </c>
      <c r="X54">
        <v>0.18</v>
      </c>
      <c r="Y54">
        <v>1</v>
      </c>
      <c r="Z54">
        <v>10</v>
      </c>
    </row>
    <row r="55" spans="1:26" x14ac:dyDescent="0.3">
      <c r="A55">
        <v>53</v>
      </c>
      <c r="B55">
        <v>120</v>
      </c>
      <c r="C55" t="s">
        <v>26</v>
      </c>
      <c r="D55">
        <v>6.2099000000000002</v>
      </c>
      <c r="E55">
        <v>16.100000000000001</v>
      </c>
      <c r="F55">
        <v>12.94</v>
      </c>
      <c r="G55">
        <v>77.63</v>
      </c>
      <c r="H55">
        <v>0.99</v>
      </c>
      <c r="I55">
        <v>10</v>
      </c>
      <c r="J55">
        <v>256.08999999999997</v>
      </c>
      <c r="K55">
        <v>57.72</v>
      </c>
      <c r="L55">
        <v>14.25</v>
      </c>
      <c r="M55">
        <v>1</v>
      </c>
      <c r="N55">
        <v>64.11</v>
      </c>
      <c r="O55">
        <v>31818.13</v>
      </c>
      <c r="P55">
        <v>158.87</v>
      </c>
      <c r="Q55">
        <v>988.16</v>
      </c>
      <c r="R55">
        <v>43.28</v>
      </c>
      <c r="S55">
        <v>35.43</v>
      </c>
      <c r="T55">
        <v>2901.71</v>
      </c>
      <c r="U55">
        <v>0.82</v>
      </c>
      <c r="V55">
        <v>0.88</v>
      </c>
      <c r="W55">
        <v>2.99</v>
      </c>
      <c r="X55">
        <v>0.18</v>
      </c>
      <c r="Y55">
        <v>1</v>
      </c>
      <c r="Z55">
        <v>10</v>
      </c>
    </row>
    <row r="56" spans="1:26" x14ac:dyDescent="0.3">
      <c r="A56">
        <v>54</v>
      </c>
      <c r="B56">
        <v>120</v>
      </c>
      <c r="C56" t="s">
        <v>26</v>
      </c>
      <c r="D56">
        <v>6.2099000000000002</v>
      </c>
      <c r="E56">
        <v>16.100000000000001</v>
      </c>
      <c r="F56">
        <v>12.94</v>
      </c>
      <c r="G56">
        <v>77.63</v>
      </c>
      <c r="H56">
        <v>1.01</v>
      </c>
      <c r="I56">
        <v>10</v>
      </c>
      <c r="J56">
        <v>256.54000000000002</v>
      </c>
      <c r="K56">
        <v>57.72</v>
      </c>
      <c r="L56">
        <v>14.5</v>
      </c>
      <c r="M56">
        <v>0</v>
      </c>
      <c r="N56">
        <v>64.319999999999993</v>
      </c>
      <c r="O56">
        <v>31874.54</v>
      </c>
      <c r="P56">
        <v>159.12</v>
      </c>
      <c r="Q56">
        <v>988.16</v>
      </c>
      <c r="R56">
        <v>43.29</v>
      </c>
      <c r="S56">
        <v>35.43</v>
      </c>
      <c r="T56">
        <v>2903.59</v>
      </c>
      <c r="U56">
        <v>0.82</v>
      </c>
      <c r="V56">
        <v>0.88</v>
      </c>
      <c r="W56">
        <v>2.99</v>
      </c>
      <c r="X56">
        <v>0.18</v>
      </c>
      <c r="Y56">
        <v>1</v>
      </c>
      <c r="Z56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24"/>
  <dimension ref="A1:Z79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145</v>
      </c>
      <c r="C2" t="s">
        <v>26</v>
      </c>
      <c r="D2">
        <v>3.1004999999999998</v>
      </c>
      <c r="E2">
        <v>32.25</v>
      </c>
      <c r="F2">
        <v>17.34</v>
      </c>
      <c r="G2">
        <v>4.6900000000000004</v>
      </c>
      <c r="H2">
        <v>0.06</v>
      </c>
      <c r="I2">
        <v>222</v>
      </c>
      <c r="J2">
        <v>285.18</v>
      </c>
      <c r="K2">
        <v>61.2</v>
      </c>
      <c r="L2">
        <v>1</v>
      </c>
      <c r="M2">
        <v>220</v>
      </c>
      <c r="N2">
        <v>77.98</v>
      </c>
      <c r="O2">
        <v>35406.83</v>
      </c>
      <c r="P2">
        <v>307.76</v>
      </c>
      <c r="Q2">
        <v>988.7</v>
      </c>
      <c r="R2">
        <v>180.73</v>
      </c>
      <c r="S2">
        <v>35.43</v>
      </c>
      <c r="T2">
        <v>70563.86</v>
      </c>
      <c r="U2">
        <v>0.2</v>
      </c>
      <c r="V2">
        <v>0.66</v>
      </c>
      <c r="W2">
        <v>3.33</v>
      </c>
      <c r="X2">
        <v>4.58</v>
      </c>
      <c r="Y2">
        <v>1</v>
      </c>
      <c r="Z2">
        <v>10</v>
      </c>
    </row>
    <row r="3" spans="1:26" x14ac:dyDescent="0.3">
      <c r="A3">
        <v>1</v>
      </c>
      <c r="B3">
        <v>145</v>
      </c>
      <c r="C3" t="s">
        <v>26</v>
      </c>
      <c r="D3">
        <v>3.5789</v>
      </c>
      <c r="E3">
        <v>27.94</v>
      </c>
      <c r="F3">
        <v>16.100000000000001</v>
      </c>
      <c r="G3">
        <v>5.85</v>
      </c>
      <c r="H3">
        <v>0.08</v>
      </c>
      <c r="I3">
        <v>165</v>
      </c>
      <c r="J3">
        <v>285.68</v>
      </c>
      <c r="K3">
        <v>61.2</v>
      </c>
      <c r="L3">
        <v>1.25</v>
      </c>
      <c r="M3">
        <v>163</v>
      </c>
      <c r="N3">
        <v>78.239999999999995</v>
      </c>
      <c r="O3">
        <v>35468.6</v>
      </c>
      <c r="P3">
        <v>285.16000000000003</v>
      </c>
      <c r="Q3">
        <v>988.54</v>
      </c>
      <c r="R3">
        <v>142.18</v>
      </c>
      <c r="S3">
        <v>35.43</v>
      </c>
      <c r="T3">
        <v>51577.47</v>
      </c>
      <c r="U3">
        <v>0.25</v>
      </c>
      <c r="V3">
        <v>0.71</v>
      </c>
      <c r="W3">
        <v>3.23</v>
      </c>
      <c r="X3">
        <v>3.34</v>
      </c>
      <c r="Y3">
        <v>1</v>
      </c>
      <c r="Z3">
        <v>10</v>
      </c>
    </row>
    <row r="4" spans="1:26" x14ac:dyDescent="0.3">
      <c r="A4">
        <v>2</v>
      </c>
      <c r="B4">
        <v>145</v>
      </c>
      <c r="C4" t="s">
        <v>26</v>
      </c>
      <c r="D4">
        <v>3.9205000000000001</v>
      </c>
      <c r="E4">
        <v>25.51</v>
      </c>
      <c r="F4">
        <v>15.44</v>
      </c>
      <c r="G4">
        <v>7.02</v>
      </c>
      <c r="H4">
        <v>0.09</v>
      </c>
      <c r="I4">
        <v>132</v>
      </c>
      <c r="J4">
        <v>286.19</v>
      </c>
      <c r="K4">
        <v>61.2</v>
      </c>
      <c r="L4">
        <v>1.5</v>
      </c>
      <c r="M4">
        <v>130</v>
      </c>
      <c r="N4">
        <v>78.489999999999995</v>
      </c>
      <c r="O4">
        <v>35530.47</v>
      </c>
      <c r="P4">
        <v>272.95</v>
      </c>
      <c r="Q4">
        <v>988.57</v>
      </c>
      <c r="R4">
        <v>121.03</v>
      </c>
      <c r="S4">
        <v>35.43</v>
      </c>
      <c r="T4">
        <v>41168.39</v>
      </c>
      <c r="U4">
        <v>0.28999999999999998</v>
      </c>
      <c r="V4">
        <v>0.74</v>
      </c>
      <c r="W4">
        <v>3.19</v>
      </c>
      <c r="X4">
        <v>2.69</v>
      </c>
      <c r="Y4">
        <v>1</v>
      </c>
      <c r="Z4">
        <v>10</v>
      </c>
    </row>
    <row r="5" spans="1:26" x14ac:dyDescent="0.3">
      <c r="A5">
        <v>3</v>
      </c>
      <c r="B5">
        <v>145</v>
      </c>
      <c r="C5" t="s">
        <v>26</v>
      </c>
      <c r="D5">
        <v>4.2073</v>
      </c>
      <c r="E5">
        <v>23.77</v>
      </c>
      <c r="F5">
        <v>14.95</v>
      </c>
      <c r="G5">
        <v>8.23</v>
      </c>
      <c r="H5">
        <v>0.11</v>
      </c>
      <c r="I5">
        <v>109</v>
      </c>
      <c r="J5">
        <v>286.69</v>
      </c>
      <c r="K5">
        <v>61.2</v>
      </c>
      <c r="L5">
        <v>1.75</v>
      </c>
      <c r="M5">
        <v>107</v>
      </c>
      <c r="N5">
        <v>78.739999999999995</v>
      </c>
      <c r="O5">
        <v>35592.57</v>
      </c>
      <c r="P5">
        <v>263.54000000000002</v>
      </c>
      <c r="Q5">
        <v>988.33</v>
      </c>
      <c r="R5">
        <v>105.86</v>
      </c>
      <c r="S5">
        <v>35.43</v>
      </c>
      <c r="T5">
        <v>33694.910000000003</v>
      </c>
      <c r="U5">
        <v>0.33</v>
      </c>
      <c r="V5">
        <v>0.76</v>
      </c>
      <c r="W5">
        <v>3.14</v>
      </c>
      <c r="X5">
        <v>2.19</v>
      </c>
      <c r="Y5">
        <v>1</v>
      </c>
      <c r="Z5">
        <v>10</v>
      </c>
    </row>
    <row r="6" spans="1:26" x14ac:dyDescent="0.3">
      <c r="A6">
        <v>4</v>
      </c>
      <c r="B6">
        <v>145</v>
      </c>
      <c r="C6" t="s">
        <v>26</v>
      </c>
      <c r="D6">
        <v>4.4135</v>
      </c>
      <c r="E6">
        <v>22.66</v>
      </c>
      <c r="F6">
        <v>14.64</v>
      </c>
      <c r="G6">
        <v>9.35</v>
      </c>
      <c r="H6">
        <v>0.12</v>
      </c>
      <c r="I6">
        <v>94</v>
      </c>
      <c r="J6">
        <v>287.19</v>
      </c>
      <c r="K6">
        <v>61.2</v>
      </c>
      <c r="L6">
        <v>2</v>
      </c>
      <c r="M6">
        <v>92</v>
      </c>
      <c r="N6">
        <v>78.989999999999995</v>
      </c>
      <c r="O6">
        <v>35654.65</v>
      </c>
      <c r="P6">
        <v>257.63</v>
      </c>
      <c r="Q6">
        <v>988.4</v>
      </c>
      <c r="R6">
        <v>96.44</v>
      </c>
      <c r="S6">
        <v>35.43</v>
      </c>
      <c r="T6">
        <v>29060</v>
      </c>
      <c r="U6">
        <v>0.37</v>
      </c>
      <c r="V6">
        <v>0.78</v>
      </c>
      <c r="W6">
        <v>3.12</v>
      </c>
      <c r="X6">
        <v>1.89</v>
      </c>
      <c r="Y6">
        <v>1</v>
      </c>
      <c r="Z6">
        <v>10</v>
      </c>
    </row>
    <row r="7" spans="1:26" x14ac:dyDescent="0.3">
      <c r="A7">
        <v>5</v>
      </c>
      <c r="B7">
        <v>145</v>
      </c>
      <c r="C7" t="s">
        <v>26</v>
      </c>
      <c r="D7">
        <v>4.5979999999999999</v>
      </c>
      <c r="E7">
        <v>21.75</v>
      </c>
      <c r="F7">
        <v>14.38</v>
      </c>
      <c r="G7">
        <v>10.52</v>
      </c>
      <c r="H7">
        <v>0.14000000000000001</v>
      </c>
      <c r="I7">
        <v>82</v>
      </c>
      <c r="J7">
        <v>287.7</v>
      </c>
      <c r="K7">
        <v>61.2</v>
      </c>
      <c r="L7">
        <v>2.25</v>
      </c>
      <c r="M7">
        <v>80</v>
      </c>
      <c r="N7">
        <v>79.25</v>
      </c>
      <c r="O7">
        <v>35716.83</v>
      </c>
      <c r="P7">
        <v>252.44</v>
      </c>
      <c r="Q7">
        <v>988.4</v>
      </c>
      <c r="R7">
        <v>88.49</v>
      </c>
      <c r="S7">
        <v>35.43</v>
      </c>
      <c r="T7">
        <v>25145.85</v>
      </c>
      <c r="U7">
        <v>0.4</v>
      </c>
      <c r="V7">
        <v>0.79</v>
      </c>
      <c r="W7">
        <v>3.09</v>
      </c>
      <c r="X7">
        <v>1.62</v>
      </c>
      <c r="Y7">
        <v>1</v>
      </c>
      <c r="Z7">
        <v>10</v>
      </c>
    </row>
    <row r="8" spans="1:26" x14ac:dyDescent="0.3">
      <c r="A8">
        <v>6</v>
      </c>
      <c r="B8">
        <v>145</v>
      </c>
      <c r="C8" t="s">
        <v>26</v>
      </c>
      <c r="D8">
        <v>4.7404999999999999</v>
      </c>
      <c r="E8">
        <v>21.09</v>
      </c>
      <c r="F8">
        <v>14.21</v>
      </c>
      <c r="G8">
        <v>11.68</v>
      </c>
      <c r="H8">
        <v>0.15</v>
      </c>
      <c r="I8">
        <v>73</v>
      </c>
      <c r="J8">
        <v>288.2</v>
      </c>
      <c r="K8">
        <v>61.2</v>
      </c>
      <c r="L8">
        <v>2.5</v>
      </c>
      <c r="M8">
        <v>71</v>
      </c>
      <c r="N8">
        <v>79.5</v>
      </c>
      <c r="O8">
        <v>35779.11</v>
      </c>
      <c r="P8">
        <v>248.83</v>
      </c>
      <c r="Q8">
        <v>988.47</v>
      </c>
      <c r="R8">
        <v>82.87</v>
      </c>
      <c r="S8">
        <v>35.43</v>
      </c>
      <c r="T8">
        <v>22382.47</v>
      </c>
      <c r="U8">
        <v>0.43</v>
      </c>
      <c r="V8">
        <v>0.8</v>
      </c>
      <c r="W8">
        <v>3.09</v>
      </c>
      <c r="X8">
        <v>1.45</v>
      </c>
      <c r="Y8">
        <v>1</v>
      </c>
      <c r="Z8">
        <v>10</v>
      </c>
    </row>
    <row r="9" spans="1:26" x14ac:dyDescent="0.3">
      <c r="A9">
        <v>7</v>
      </c>
      <c r="B9">
        <v>145</v>
      </c>
      <c r="C9" t="s">
        <v>26</v>
      </c>
      <c r="D9">
        <v>4.8815999999999997</v>
      </c>
      <c r="E9">
        <v>20.48</v>
      </c>
      <c r="F9">
        <v>14.03</v>
      </c>
      <c r="G9">
        <v>12.95</v>
      </c>
      <c r="H9">
        <v>0.17</v>
      </c>
      <c r="I9">
        <v>65</v>
      </c>
      <c r="J9">
        <v>288.70999999999998</v>
      </c>
      <c r="K9">
        <v>61.2</v>
      </c>
      <c r="L9">
        <v>2.75</v>
      </c>
      <c r="M9">
        <v>63</v>
      </c>
      <c r="N9">
        <v>79.760000000000005</v>
      </c>
      <c r="O9">
        <v>35841.5</v>
      </c>
      <c r="P9">
        <v>245.2</v>
      </c>
      <c r="Q9">
        <v>988.3</v>
      </c>
      <c r="R9">
        <v>77.349999999999994</v>
      </c>
      <c r="S9">
        <v>35.43</v>
      </c>
      <c r="T9">
        <v>19662.72</v>
      </c>
      <c r="U9">
        <v>0.46</v>
      </c>
      <c r="V9">
        <v>0.81</v>
      </c>
      <c r="W9">
        <v>3.07</v>
      </c>
      <c r="X9">
        <v>1.28</v>
      </c>
      <c r="Y9">
        <v>1</v>
      </c>
      <c r="Z9">
        <v>10</v>
      </c>
    </row>
    <row r="10" spans="1:26" x14ac:dyDescent="0.3">
      <c r="A10">
        <v>8</v>
      </c>
      <c r="B10">
        <v>145</v>
      </c>
      <c r="C10" t="s">
        <v>26</v>
      </c>
      <c r="D10">
        <v>4.9882</v>
      </c>
      <c r="E10">
        <v>20.05</v>
      </c>
      <c r="F10">
        <v>13.92</v>
      </c>
      <c r="G10">
        <v>14.15</v>
      </c>
      <c r="H10">
        <v>0.18</v>
      </c>
      <c r="I10">
        <v>59</v>
      </c>
      <c r="J10">
        <v>289.20999999999998</v>
      </c>
      <c r="K10">
        <v>61.2</v>
      </c>
      <c r="L10">
        <v>3</v>
      </c>
      <c r="M10">
        <v>57</v>
      </c>
      <c r="N10">
        <v>80.02</v>
      </c>
      <c r="O10">
        <v>35903.99</v>
      </c>
      <c r="P10">
        <v>242.66</v>
      </c>
      <c r="Q10">
        <v>988.36</v>
      </c>
      <c r="R10">
        <v>73.62</v>
      </c>
      <c r="S10">
        <v>35.43</v>
      </c>
      <c r="T10">
        <v>17824.080000000002</v>
      </c>
      <c r="U10">
        <v>0.48</v>
      </c>
      <c r="V10">
        <v>0.82</v>
      </c>
      <c r="W10">
        <v>3.07</v>
      </c>
      <c r="X10">
        <v>1.1599999999999999</v>
      </c>
      <c r="Y10">
        <v>1</v>
      </c>
      <c r="Z10">
        <v>10</v>
      </c>
    </row>
    <row r="11" spans="1:26" x14ac:dyDescent="0.3">
      <c r="A11">
        <v>9</v>
      </c>
      <c r="B11">
        <v>145</v>
      </c>
      <c r="C11" t="s">
        <v>26</v>
      </c>
      <c r="D11">
        <v>5.0819000000000001</v>
      </c>
      <c r="E11">
        <v>19.68</v>
      </c>
      <c r="F11">
        <v>13.82</v>
      </c>
      <c r="G11">
        <v>15.35</v>
      </c>
      <c r="H11">
        <v>0.2</v>
      </c>
      <c r="I11">
        <v>54</v>
      </c>
      <c r="J11">
        <v>289.72000000000003</v>
      </c>
      <c r="K11">
        <v>61.2</v>
      </c>
      <c r="L11">
        <v>3.25</v>
      </c>
      <c r="M11">
        <v>52</v>
      </c>
      <c r="N11">
        <v>80.27</v>
      </c>
      <c r="O11">
        <v>35966.589999999997</v>
      </c>
      <c r="P11">
        <v>240.26</v>
      </c>
      <c r="Q11">
        <v>988.2</v>
      </c>
      <c r="R11">
        <v>70.459999999999994</v>
      </c>
      <c r="S11">
        <v>35.43</v>
      </c>
      <c r="T11">
        <v>16272.55</v>
      </c>
      <c r="U11">
        <v>0.5</v>
      </c>
      <c r="V11">
        <v>0.82</v>
      </c>
      <c r="W11">
        <v>3.06</v>
      </c>
      <c r="X11">
        <v>1.06</v>
      </c>
      <c r="Y11">
        <v>1</v>
      </c>
      <c r="Z11">
        <v>10</v>
      </c>
    </row>
    <row r="12" spans="1:26" x14ac:dyDescent="0.3">
      <c r="A12">
        <v>10</v>
      </c>
      <c r="B12">
        <v>145</v>
      </c>
      <c r="C12" t="s">
        <v>26</v>
      </c>
      <c r="D12">
        <v>5.1540999999999997</v>
      </c>
      <c r="E12">
        <v>19.399999999999999</v>
      </c>
      <c r="F12">
        <v>13.76</v>
      </c>
      <c r="G12">
        <v>16.510000000000002</v>
      </c>
      <c r="H12">
        <v>0.21</v>
      </c>
      <c r="I12">
        <v>50</v>
      </c>
      <c r="J12">
        <v>290.23</v>
      </c>
      <c r="K12">
        <v>61.2</v>
      </c>
      <c r="L12">
        <v>3.5</v>
      </c>
      <c r="M12">
        <v>48</v>
      </c>
      <c r="N12">
        <v>80.53</v>
      </c>
      <c r="O12">
        <v>36029.29</v>
      </c>
      <c r="P12">
        <v>238.74</v>
      </c>
      <c r="Q12">
        <v>988.57</v>
      </c>
      <c r="R12">
        <v>68.97</v>
      </c>
      <c r="S12">
        <v>35.43</v>
      </c>
      <c r="T12">
        <v>15547.4</v>
      </c>
      <c r="U12">
        <v>0.51</v>
      </c>
      <c r="V12">
        <v>0.83</v>
      </c>
      <c r="W12">
        <v>3.05</v>
      </c>
      <c r="X12">
        <v>1</v>
      </c>
      <c r="Y12">
        <v>1</v>
      </c>
      <c r="Z12">
        <v>10</v>
      </c>
    </row>
    <row r="13" spans="1:26" x14ac:dyDescent="0.3">
      <c r="A13">
        <v>11</v>
      </c>
      <c r="B13">
        <v>145</v>
      </c>
      <c r="C13" t="s">
        <v>26</v>
      </c>
      <c r="D13">
        <v>5.2169999999999996</v>
      </c>
      <c r="E13">
        <v>19.170000000000002</v>
      </c>
      <c r="F13">
        <v>13.69</v>
      </c>
      <c r="G13">
        <v>17.47</v>
      </c>
      <c r="H13">
        <v>0.23</v>
      </c>
      <c r="I13">
        <v>47</v>
      </c>
      <c r="J13">
        <v>290.74</v>
      </c>
      <c r="K13">
        <v>61.2</v>
      </c>
      <c r="L13">
        <v>3.75</v>
      </c>
      <c r="M13">
        <v>45</v>
      </c>
      <c r="N13">
        <v>80.790000000000006</v>
      </c>
      <c r="O13">
        <v>36092.1</v>
      </c>
      <c r="P13">
        <v>236.84</v>
      </c>
      <c r="Q13">
        <v>988.21</v>
      </c>
      <c r="R13">
        <v>66.5</v>
      </c>
      <c r="S13">
        <v>35.43</v>
      </c>
      <c r="T13">
        <v>14326.94</v>
      </c>
      <c r="U13">
        <v>0.53</v>
      </c>
      <c r="V13">
        <v>0.83</v>
      </c>
      <c r="W13">
        <v>3.05</v>
      </c>
      <c r="X13">
        <v>0.93</v>
      </c>
      <c r="Y13">
        <v>1</v>
      </c>
      <c r="Z13">
        <v>10</v>
      </c>
    </row>
    <row r="14" spans="1:26" x14ac:dyDescent="0.3">
      <c r="A14">
        <v>12</v>
      </c>
      <c r="B14">
        <v>145</v>
      </c>
      <c r="C14" t="s">
        <v>26</v>
      </c>
      <c r="D14">
        <v>5.3007</v>
      </c>
      <c r="E14">
        <v>18.87</v>
      </c>
      <c r="F14">
        <v>13.6</v>
      </c>
      <c r="G14">
        <v>18.98</v>
      </c>
      <c r="H14">
        <v>0.24</v>
      </c>
      <c r="I14">
        <v>43</v>
      </c>
      <c r="J14">
        <v>291.25</v>
      </c>
      <c r="K14">
        <v>61.2</v>
      </c>
      <c r="L14">
        <v>4</v>
      </c>
      <c r="M14">
        <v>41</v>
      </c>
      <c r="N14">
        <v>81.05</v>
      </c>
      <c r="O14">
        <v>36155.019999999997</v>
      </c>
      <c r="P14">
        <v>234.77</v>
      </c>
      <c r="Q14">
        <v>988.15</v>
      </c>
      <c r="R14">
        <v>64.09</v>
      </c>
      <c r="S14">
        <v>35.43</v>
      </c>
      <c r="T14">
        <v>13142.62</v>
      </c>
      <c r="U14">
        <v>0.55000000000000004</v>
      </c>
      <c r="V14">
        <v>0.84</v>
      </c>
      <c r="W14">
        <v>3.03</v>
      </c>
      <c r="X14">
        <v>0.84</v>
      </c>
      <c r="Y14">
        <v>1</v>
      </c>
      <c r="Z14">
        <v>10</v>
      </c>
    </row>
    <row r="15" spans="1:26" x14ac:dyDescent="0.3">
      <c r="A15">
        <v>13</v>
      </c>
      <c r="B15">
        <v>145</v>
      </c>
      <c r="C15" t="s">
        <v>26</v>
      </c>
      <c r="D15">
        <v>5.3404999999999996</v>
      </c>
      <c r="E15">
        <v>18.72</v>
      </c>
      <c r="F15">
        <v>13.57</v>
      </c>
      <c r="G15">
        <v>19.850000000000001</v>
      </c>
      <c r="H15">
        <v>0.26</v>
      </c>
      <c r="I15">
        <v>41</v>
      </c>
      <c r="J15">
        <v>291.76</v>
      </c>
      <c r="K15">
        <v>61.2</v>
      </c>
      <c r="L15">
        <v>4.25</v>
      </c>
      <c r="M15">
        <v>39</v>
      </c>
      <c r="N15">
        <v>81.31</v>
      </c>
      <c r="O15">
        <v>36218.04</v>
      </c>
      <c r="P15">
        <v>233.73</v>
      </c>
      <c r="Q15">
        <v>988.25</v>
      </c>
      <c r="R15">
        <v>62.61</v>
      </c>
      <c r="S15">
        <v>35.43</v>
      </c>
      <c r="T15">
        <v>12408.89</v>
      </c>
      <c r="U15">
        <v>0.56999999999999995</v>
      </c>
      <c r="V15">
        <v>0.84</v>
      </c>
      <c r="W15">
        <v>3.04</v>
      </c>
      <c r="X15">
        <v>0.81</v>
      </c>
      <c r="Y15">
        <v>1</v>
      </c>
      <c r="Z15">
        <v>10</v>
      </c>
    </row>
    <row r="16" spans="1:26" x14ac:dyDescent="0.3">
      <c r="A16">
        <v>14</v>
      </c>
      <c r="B16">
        <v>145</v>
      </c>
      <c r="C16" t="s">
        <v>26</v>
      </c>
      <c r="D16">
        <v>5.4063999999999997</v>
      </c>
      <c r="E16">
        <v>18.5</v>
      </c>
      <c r="F16">
        <v>13.5</v>
      </c>
      <c r="G16">
        <v>21.32</v>
      </c>
      <c r="H16">
        <v>0.27</v>
      </c>
      <c r="I16">
        <v>38</v>
      </c>
      <c r="J16">
        <v>292.27</v>
      </c>
      <c r="K16">
        <v>61.2</v>
      </c>
      <c r="L16">
        <v>4.5</v>
      </c>
      <c r="M16">
        <v>36</v>
      </c>
      <c r="N16">
        <v>81.569999999999993</v>
      </c>
      <c r="O16">
        <v>36281.160000000003</v>
      </c>
      <c r="P16">
        <v>232</v>
      </c>
      <c r="Q16">
        <v>988.24</v>
      </c>
      <c r="R16">
        <v>60.95</v>
      </c>
      <c r="S16">
        <v>35.43</v>
      </c>
      <c r="T16">
        <v>11594.69</v>
      </c>
      <c r="U16">
        <v>0.57999999999999996</v>
      </c>
      <c r="V16">
        <v>0.84</v>
      </c>
      <c r="W16">
        <v>3.02</v>
      </c>
      <c r="X16">
        <v>0.74</v>
      </c>
      <c r="Y16">
        <v>1</v>
      </c>
      <c r="Z16">
        <v>10</v>
      </c>
    </row>
    <row r="17" spans="1:26" x14ac:dyDescent="0.3">
      <c r="A17">
        <v>15</v>
      </c>
      <c r="B17">
        <v>145</v>
      </c>
      <c r="C17" t="s">
        <v>26</v>
      </c>
      <c r="D17">
        <v>5.4550999999999998</v>
      </c>
      <c r="E17">
        <v>18.329999999999998</v>
      </c>
      <c r="F17">
        <v>13.44</v>
      </c>
      <c r="G17">
        <v>22.4</v>
      </c>
      <c r="H17">
        <v>0.28999999999999998</v>
      </c>
      <c r="I17">
        <v>36</v>
      </c>
      <c r="J17">
        <v>292.79000000000002</v>
      </c>
      <c r="K17">
        <v>61.2</v>
      </c>
      <c r="L17">
        <v>4.75</v>
      </c>
      <c r="M17">
        <v>34</v>
      </c>
      <c r="N17">
        <v>81.84</v>
      </c>
      <c r="O17">
        <v>36344.400000000001</v>
      </c>
      <c r="P17">
        <v>230.37</v>
      </c>
      <c r="Q17">
        <v>988.21</v>
      </c>
      <c r="R17">
        <v>59.06</v>
      </c>
      <c r="S17">
        <v>35.43</v>
      </c>
      <c r="T17">
        <v>10663.58</v>
      </c>
      <c r="U17">
        <v>0.6</v>
      </c>
      <c r="V17">
        <v>0.85</v>
      </c>
      <c r="W17">
        <v>3.02</v>
      </c>
      <c r="X17">
        <v>0.69</v>
      </c>
      <c r="Y17">
        <v>1</v>
      </c>
      <c r="Z17">
        <v>10</v>
      </c>
    </row>
    <row r="18" spans="1:26" x14ac:dyDescent="0.3">
      <c r="A18">
        <v>16</v>
      </c>
      <c r="B18">
        <v>145</v>
      </c>
      <c r="C18" t="s">
        <v>26</v>
      </c>
      <c r="D18">
        <v>5.4912000000000001</v>
      </c>
      <c r="E18">
        <v>18.21</v>
      </c>
      <c r="F18">
        <v>13.43</v>
      </c>
      <c r="G18">
        <v>23.7</v>
      </c>
      <c r="H18">
        <v>0.3</v>
      </c>
      <c r="I18">
        <v>34</v>
      </c>
      <c r="J18">
        <v>293.3</v>
      </c>
      <c r="K18">
        <v>61.2</v>
      </c>
      <c r="L18">
        <v>5</v>
      </c>
      <c r="M18">
        <v>32</v>
      </c>
      <c r="N18">
        <v>82.1</v>
      </c>
      <c r="O18">
        <v>36407.75</v>
      </c>
      <c r="P18">
        <v>229.59</v>
      </c>
      <c r="Q18">
        <v>988.22</v>
      </c>
      <c r="R18">
        <v>58.78</v>
      </c>
      <c r="S18">
        <v>35.43</v>
      </c>
      <c r="T18">
        <v>10533.58</v>
      </c>
      <c r="U18">
        <v>0.6</v>
      </c>
      <c r="V18">
        <v>0.85</v>
      </c>
      <c r="W18">
        <v>3.02</v>
      </c>
      <c r="X18">
        <v>0.68</v>
      </c>
      <c r="Y18">
        <v>1</v>
      </c>
      <c r="Z18">
        <v>10</v>
      </c>
    </row>
    <row r="19" spans="1:26" x14ac:dyDescent="0.3">
      <c r="A19">
        <v>17</v>
      </c>
      <c r="B19">
        <v>145</v>
      </c>
      <c r="C19" t="s">
        <v>26</v>
      </c>
      <c r="D19">
        <v>5.5208000000000004</v>
      </c>
      <c r="E19">
        <v>18.11</v>
      </c>
      <c r="F19">
        <v>13.39</v>
      </c>
      <c r="G19">
        <v>24.34</v>
      </c>
      <c r="H19">
        <v>0.32</v>
      </c>
      <c r="I19">
        <v>33</v>
      </c>
      <c r="J19">
        <v>293.81</v>
      </c>
      <c r="K19">
        <v>61.2</v>
      </c>
      <c r="L19">
        <v>5.25</v>
      </c>
      <c r="M19">
        <v>31</v>
      </c>
      <c r="N19">
        <v>82.36</v>
      </c>
      <c r="O19">
        <v>36471.199999999997</v>
      </c>
      <c r="P19">
        <v>228.36</v>
      </c>
      <c r="Q19">
        <v>988.2</v>
      </c>
      <c r="R19">
        <v>57.49</v>
      </c>
      <c r="S19">
        <v>35.43</v>
      </c>
      <c r="T19">
        <v>9891.19</v>
      </c>
      <c r="U19">
        <v>0.62</v>
      </c>
      <c r="V19">
        <v>0.85</v>
      </c>
      <c r="W19">
        <v>3.02</v>
      </c>
      <c r="X19">
        <v>0.63</v>
      </c>
      <c r="Y19">
        <v>1</v>
      </c>
      <c r="Z19">
        <v>10</v>
      </c>
    </row>
    <row r="20" spans="1:26" x14ac:dyDescent="0.3">
      <c r="A20">
        <v>18</v>
      </c>
      <c r="B20">
        <v>145</v>
      </c>
      <c r="C20" t="s">
        <v>26</v>
      </c>
      <c r="D20">
        <v>5.5603999999999996</v>
      </c>
      <c r="E20">
        <v>17.98</v>
      </c>
      <c r="F20">
        <v>13.36</v>
      </c>
      <c r="G20">
        <v>25.87</v>
      </c>
      <c r="H20">
        <v>0.33</v>
      </c>
      <c r="I20">
        <v>31</v>
      </c>
      <c r="J20">
        <v>294.33</v>
      </c>
      <c r="K20">
        <v>61.2</v>
      </c>
      <c r="L20">
        <v>5.5</v>
      </c>
      <c r="M20">
        <v>29</v>
      </c>
      <c r="N20">
        <v>82.63</v>
      </c>
      <c r="O20">
        <v>36534.76</v>
      </c>
      <c r="P20">
        <v>227.48</v>
      </c>
      <c r="Q20">
        <v>988.15</v>
      </c>
      <c r="R20">
        <v>56.7</v>
      </c>
      <c r="S20">
        <v>35.43</v>
      </c>
      <c r="T20">
        <v>9507.08</v>
      </c>
      <c r="U20">
        <v>0.62</v>
      </c>
      <c r="V20">
        <v>0.85</v>
      </c>
      <c r="W20">
        <v>3.02</v>
      </c>
      <c r="X20">
        <v>0.61</v>
      </c>
      <c r="Y20">
        <v>1</v>
      </c>
      <c r="Z20">
        <v>10</v>
      </c>
    </row>
    <row r="21" spans="1:26" x14ac:dyDescent="0.3">
      <c r="A21">
        <v>19</v>
      </c>
      <c r="B21">
        <v>145</v>
      </c>
      <c r="C21" t="s">
        <v>26</v>
      </c>
      <c r="D21">
        <v>5.5896999999999997</v>
      </c>
      <c r="E21">
        <v>17.89</v>
      </c>
      <c r="F21">
        <v>13.32</v>
      </c>
      <c r="G21">
        <v>26.65</v>
      </c>
      <c r="H21">
        <v>0.35</v>
      </c>
      <c r="I21">
        <v>30</v>
      </c>
      <c r="J21">
        <v>294.83999999999997</v>
      </c>
      <c r="K21">
        <v>61.2</v>
      </c>
      <c r="L21">
        <v>5.75</v>
      </c>
      <c r="M21">
        <v>28</v>
      </c>
      <c r="N21">
        <v>82.9</v>
      </c>
      <c r="O21">
        <v>36598.44</v>
      </c>
      <c r="P21">
        <v>225.95</v>
      </c>
      <c r="Q21">
        <v>988.12</v>
      </c>
      <c r="R21">
        <v>55.48</v>
      </c>
      <c r="S21">
        <v>35.43</v>
      </c>
      <c r="T21">
        <v>8903.0499999999993</v>
      </c>
      <c r="U21">
        <v>0.64</v>
      </c>
      <c r="V21">
        <v>0.86</v>
      </c>
      <c r="W21">
        <v>3.01</v>
      </c>
      <c r="X21">
        <v>0.56999999999999995</v>
      </c>
      <c r="Y21">
        <v>1</v>
      </c>
      <c r="Z21">
        <v>10</v>
      </c>
    </row>
    <row r="22" spans="1:26" x14ac:dyDescent="0.3">
      <c r="A22">
        <v>20</v>
      </c>
      <c r="B22">
        <v>145</v>
      </c>
      <c r="C22" t="s">
        <v>26</v>
      </c>
      <c r="D22">
        <v>5.6284000000000001</v>
      </c>
      <c r="E22">
        <v>17.77</v>
      </c>
      <c r="F22">
        <v>13.31</v>
      </c>
      <c r="G22">
        <v>28.52</v>
      </c>
      <c r="H22">
        <v>0.36</v>
      </c>
      <c r="I22">
        <v>28</v>
      </c>
      <c r="J22">
        <v>295.36</v>
      </c>
      <c r="K22">
        <v>61.2</v>
      </c>
      <c r="L22">
        <v>6</v>
      </c>
      <c r="M22">
        <v>26</v>
      </c>
      <c r="N22">
        <v>83.16</v>
      </c>
      <c r="O22">
        <v>36662.22</v>
      </c>
      <c r="P22">
        <v>225.14</v>
      </c>
      <c r="Q22">
        <v>988.11</v>
      </c>
      <c r="R22">
        <v>54.9</v>
      </c>
      <c r="S22">
        <v>35.43</v>
      </c>
      <c r="T22">
        <v>8620.24</v>
      </c>
      <c r="U22">
        <v>0.65</v>
      </c>
      <c r="V22">
        <v>0.86</v>
      </c>
      <c r="W22">
        <v>3.01</v>
      </c>
      <c r="X22">
        <v>0.55000000000000004</v>
      </c>
      <c r="Y22">
        <v>1</v>
      </c>
      <c r="Z22">
        <v>10</v>
      </c>
    </row>
    <row r="23" spans="1:26" x14ac:dyDescent="0.3">
      <c r="A23">
        <v>21</v>
      </c>
      <c r="B23">
        <v>145</v>
      </c>
      <c r="C23" t="s">
        <v>26</v>
      </c>
      <c r="D23">
        <v>5.657</v>
      </c>
      <c r="E23">
        <v>17.68</v>
      </c>
      <c r="F23">
        <v>13.27</v>
      </c>
      <c r="G23">
        <v>29.5</v>
      </c>
      <c r="H23">
        <v>0.38</v>
      </c>
      <c r="I23">
        <v>27</v>
      </c>
      <c r="J23">
        <v>295.88</v>
      </c>
      <c r="K23">
        <v>61.2</v>
      </c>
      <c r="L23">
        <v>6.25</v>
      </c>
      <c r="M23">
        <v>25</v>
      </c>
      <c r="N23">
        <v>83.43</v>
      </c>
      <c r="O23">
        <v>36726.120000000003</v>
      </c>
      <c r="P23">
        <v>223.9</v>
      </c>
      <c r="Q23">
        <v>988.08</v>
      </c>
      <c r="R23">
        <v>53.93</v>
      </c>
      <c r="S23">
        <v>35.43</v>
      </c>
      <c r="T23">
        <v>8142.95</v>
      </c>
      <c r="U23">
        <v>0.66</v>
      </c>
      <c r="V23">
        <v>0.86</v>
      </c>
      <c r="W23">
        <v>3.01</v>
      </c>
      <c r="X23">
        <v>0.52</v>
      </c>
      <c r="Y23">
        <v>1</v>
      </c>
      <c r="Z23">
        <v>10</v>
      </c>
    </row>
    <row r="24" spans="1:26" x14ac:dyDescent="0.3">
      <c r="A24">
        <v>22</v>
      </c>
      <c r="B24">
        <v>145</v>
      </c>
      <c r="C24" t="s">
        <v>26</v>
      </c>
      <c r="D24">
        <v>5.681</v>
      </c>
      <c r="E24">
        <v>17.600000000000001</v>
      </c>
      <c r="F24">
        <v>13.25</v>
      </c>
      <c r="G24">
        <v>30.58</v>
      </c>
      <c r="H24">
        <v>0.39</v>
      </c>
      <c r="I24">
        <v>26</v>
      </c>
      <c r="J24">
        <v>296.39999999999998</v>
      </c>
      <c r="K24">
        <v>61.2</v>
      </c>
      <c r="L24">
        <v>6.5</v>
      </c>
      <c r="M24">
        <v>24</v>
      </c>
      <c r="N24">
        <v>83.7</v>
      </c>
      <c r="O24">
        <v>36790.129999999997</v>
      </c>
      <c r="P24">
        <v>223.19</v>
      </c>
      <c r="Q24">
        <v>988.2</v>
      </c>
      <c r="R24">
        <v>53.21</v>
      </c>
      <c r="S24">
        <v>35.43</v>
      </c>
      <c r="T24">
        <v>7785.02</v>
      </c>
      <c r="U24">
        <v>0.67</v>
      </c>
      <c r="V24">
        <v>0.86</v>
      </c>
      <c r="W24">
        <v>3.01</v>
      </c>
      <c r="X24">
        <v>0.5</v>
      </c>
      <c r="Y24">
        <v>1</v>
      </c>
      <c r="Z24">
        <v>10</v>
      </c>
    </row>
    <row r="25" spans="1:26" x14ac:dyDescent="0.3">
      <c r="A25">
        <v>23</v>
      </c>
      <c r="B25">
        <v>145</v>
      </c>
      <c r="C25" t="s">
        <v>26</v>
      </c>
      <c r="D25">
        <v>5.7035</v>
      </c>
      <c r="E25">
        <v>17.53</v>
      </c>
      <c r="F25">
        <v>13.24</v>
      </c>
      <c r="G25">
        <v>31.77</v>
      </c>
      <c r="H25">
        <v>0.4</v>
      </c>
      <c r="I25">
        <v>25</v>
      </c>
      <c r="J25">
        <v>296.92</v>
      </c>
      <c r="K25">
        <v>61.2</v>
      </c>
      <c r="L25">
        <v>6.75</v>
      </c>
      <c r="M25">
        <v>23</v>
      </c>
      <c r="N25">
        <v>83.97</v>
      </c>
      <c r="O25">
        <v>36854.25</v>
      </c>
      <c r="P25">
        <v>222.43</v>
      </c>
      <c r="Q25">
        <v>988.21</v>
      </c>
      <c r="R25">
        <v>52.85</v>
      </c>
      <c r="S25">
        <v>35.43</v>
      </c>
      <c r="T25">
        <v>7613.37</v>
      </c>
      <c r="U25">
        <v>0.67</v>
      </c>
      <c r="V25">
        <v>0.86</v>
      </c>
      <c r="W25">
        <v>3</v>
      </c>
      <c r="X25">
        <v>0.48</v>
      </c>
      <c r="Y25">
        <v>1</v>
      </c>
      <c r="Z25">
        <v>10</v>
      </c>
    </row>
    <row r="26" spans="1:26" x14ac:dyDescent="0.3">
      <c r="A26">
        <v>24</v>
      </c>
      <c r="B26">
        <v>145</v>
      </c>
      <c r="C26" t="s">
        <v>26</v>
      </c>
      <c r="D26">
        <v>5.7267000000000001</v>
      </c>
      <c r="E26">
        <v>17.46</v>
      </c>
      <c r="F26">
        <v>13.22</v>
      </c>
      <c r="G26">
        <v>33.049999999999997</v>
      </c>
      <c r="H26">
        <v>0.42</v>
      </c>
      <c r="I26">
        <v>24</v>
      </c>
      <c r="J26">
        <v>297.44</v>
      </c>
      <c r="K26">
        <v>61.2</v>
      </c>
      <c r="L26">
        <v>7</v>
      </c>
      <c r="M26">
        <v>22</v>
      </c>
      <c r="N26">
        <v>84.24</v>
      </c>
      <c r="O26">
        <v>36918.480000000003</v>
      </c>
      <c r="P26">
        <v>221.58</v>
      </c>
      <c r="Q26">
        <v>988.1</v>
      </c>
      <c r="R26">
        <v>52.17</v>
      </c>
      <c r="S26">
        <v>35.43</v>
      </c>
      <c r="T26">
        <v>7275.45</v>
      </c>
      <c r="U26">
        <v>0.68</v>
      </c>
      <c r="V26">
        <v>0.86</v>
      </c>
      <c r="W26">
        <v>3.01</v>
      </c>
      <c r="X26">
        <v>0.47</v>
      </c>
      <c r="Y26">
        <v>1</v>
      </c>
      <c r="Z26">
        <v>10</v>
      </c>
    </row>
    <row r="27" spans="1:26" x14ac:dyDescent="0.3">
      <c r="A27">
        <v>25</v>
      </c>
      <c r="B27">
        <v>145</v>
      </c>
      <c r="C27" t="s">
        <v>26</v>
      </c>
      <c r="D27">
        <v>5.7491000000000003</v>
      </c>
      <c r="E27">
        <v>17.39</v>
      </c>
      <c r="F27">
        <v>13.21</v>
      </c>
      <c r="G27">
        <v>34.450000000000003</v>
      </c>
      <c r="H27">
        <v>0.43</v>
      </c>
      <c r="I27">
        <v>23</v>
      </c>
      <c r="J27">
        <v>297.95999999999998</v>
      </c>
      <c r="K27">
        <v>61.2</v>
      </c>
      <c r="L27">
        <v>7.25</v>
      </c>
      <c r="M27">
        <v>21</v>
      </c>
      <c r="N27">
        <v>84.51</v>
      </c>
      <c r="O27">
        <v>36982.83</v>
      </c>
      <c r="P27">
        <v>220.69</v>
      </c>
      <c r="Q27">
        <v>988.15</v>
      </c>
      <c r="R27">
        <v>51.76</v>
      </c>
      <c r="S27">
        <v>35.43</v>
      </c>
      <c r="T27">
        <v>7078.31</v>
      </c>
      <c r="U27">
        <v>0.68</v>
      </c>
      <c r="V27">
        <v>0.86</v>
      </c>
      <c r="W27">
        <v>3</v>
      </c>
      <c r="X27">
        <v>0.45</v>
      </c>
      <c r="Y27">
        <v>1</v>
      </c>
      <c r="Z27">
        <v>10</v>
      </c>
    </row>
    <row r="28" spans="1:26" x14ac:dyDescent="0.3">
      <c r="A28">
        <v>26</v>
      </c>
      <c r="B28">
        <v>145</v>
      </c>
      <c r="C28" t="s">
        <v>26</v>
      </c>
      <c r="D28">
        <v>5.7784000000000004</v>
      </c>
      <c r="E28">
        <v>17.309999999999999</v>
      </c>
      <c r="F28">
        <v>13.17</v>
      </c>
      <c r="G28">
        <v>35.92</v>
      </c>
      <c r="H28">
        <v>0.45</v>
      </c>
      <c r="I28">
        <v>22</v>
      </c>
      <c r="J28">
        <v>298.48</v>
      </c>
      <c r="K28">
        <v>61.2</v>
      </c>
      <c r="L28">
        <v>7.5</v>
      </c>
      <c r="M28">
        <v>20</v>
      </c>
      <c r="N28">
        <v>84.79</v>
      </c>
      <c r="O28">
        <v>37047.29</v>
      </c>
      <c r="P28">
        <v>219.65</v>
      </c>
      <c r="Q28">
        <v>988.27</v>
      </c>
      <c r="R28">
        <v>50.61</v>
      </c>
      <c r="S28">
        <v>35.43</v>
      </c>
      <c r="T28">
        <v>6506.33</v>
      </c>
      <c r="U28">
        <v>0.7</v>
      </c>
      <c r="V28">
        <v>0.87</v>
      </c>
      <c r="W28">
        <v>3</v>
      </c>
      <c r="X28">
        <v>0.42</v>
      </c>
      <c r="Y28">
        <v>1</v>
      </c>
      <c r="Z28">
        <v>10</v>
      </c>
    </row>
    <row r="29" spans="1:26" x14ac:dyDescent="0.3">
      <c r="A29">
        <v>27</v>
      </c>
      <c r="B29">
        <v>145</v>
      </c>
      <c r="C29" t="s">
        <v>26</v>
      </c>
      <c r="D29">
        <v>5.7767999999999997</v>
      </c>
      <c r="E29">
        <v>17.309999999999999</v>
      </c>
      <c r="F29">
        <v>13.18</v>
      </c>
      <c r="G29">
        <v>35.93</v>
      </c>
      <c r="H29">
        <v>0.46</v>
      </c>
      <c r="I29">
        <v>22</v>
      </c>
      <c r="J29">
        <v>299.01</v>
      </c>
      <c r="K29">
        <v>61.2</v>
      </c>
      <c r="L29">
        <v>7.75</v>
      </c>
      <c r="M29">
        <v>20</v>
      </c>
      <c r="N29">
        <v>85.06</v>
      </c>
      <c r="O29">
        <v>37111.870000000003</v>
      </c>
      <c r="P29">
        <v>219.2</v>
      </c>
      <c r="Q29">
        <v>988.17</v>
      </c>
      <c r="R29">
        <v>50.91</v>
      </c>
      <c r="S29">
        <v>35.43</v>
      </c>
      <c r="T29">
        <v>6655.3</v>
      </c>
      <c r="U29">
        <v>0.7</v>
      </c>
      <c r="V29">
        <v>0.87</v>
      </c>
      <c r="W29">
        <v>3</v>
      </c>
      <c r="X29">
        <v>0.42</v>
      </c>
      <c r="Y29">
        <v>1</v>
      </c>
      <c r="Z29">
        <v>10</v>
      </c>
    </row>
    <row r="30" spans="1:26" x14ac:dyDescent="0.3">
      <c r="A30">
        <v>28</v>
      </c>
      <c r="B30">
        <v>145</v>
      </c>
      <c r="C30" t="s">
        <v>26</v>
      </c>
      <c r="D30">
        <v>5.798</v>
      </c>
      <c r="E30">
        <v>17.25</v>
      </c>
      <c r="F30">
        <v>13.17</v>
      </c>
      <c r="G30">
        <v>37.619999999999997</v>
      </c>
      <c r="H30">
        <v>0.48</v>
      </c>
      <c r="I30">
        <v>21</v>
      </c>
      <c r="J30">
        <v>299.52999999999997</v>
      </c>
      <c r="K30">
        <v>61.2</v>
      </c>
      <c r="L30">
        <v>8</v>
      </c>
      <c r="M30">
        <v>19</v>
      </c>
      <c r="N30">
        <v>85.33</v>
      </c>
      <c r="O30">
        <v>37176.68</v>
      </c>
      <c r="P30">
        <v>218.26</v>
      </c>
      <c r="Q30">
        <v>988.13</v>
      </c>
      <c r="R30">
        <v>50.56</v>
      </c>
      <c r="S30">
        <v>35.43</v>
      </c>
      <c r="T30">
        <v>6485.97</v>
      </c>
      <c r="U30">
        <v>0.7</v>
      </c>
      <c r="V30">
        <v>0.87</v>
      </c>
      <c r="W30">
        <v>3</v>
      </c>
      <c r="X30">
        <v>0.41</v>
      </c>
      <c r="Y30">
        <v>1</v>
      </c>
      <c r="Z30">
        <v>10</v>
      </c>
    </row>
    <row r="31" spans="1:26" x14ac:dyDescent="0.3">
      <c r="A31">
        <v>29</v>
      </c>
      <c r="B31">
        <v>145</v>
      </c>
      <c r="C31" t="s">
        <v>26</v>
      </c>
      <c r="D31">
        <v>5.8289999999999997</v>
      </c>
      <c r="E31">
        <v>17.16</v>
      </c>
      <c r="F31">
        <v>13.13</v>
      </c>
      <c r="G31">
        <v>39.39</v>
      </c>
      <c r="H31">
        <v>0.49</v>
      </c>
      <c r="I31">
        <v>20</v>
      </c>
      <c r="J31">
        <v>300.06</v>
      </c>
      <c r="K31">
        <v>61.2</v>
      </c>
      <c r="L31">
        <v>8.25</v>
      </c>
      <c r="M31">
        <v>18</v>
      </c>
      <c r="N31">
        <v>85.61</v>
      </c>
      <c r="O31">
        <v>37241.49</v>
      </c>
      <c r="P31">
        <v>217.55</v>
      </c>
      <c r="Q31">
        <v>988.18</v>
      </c>
      <c r="R31">
        <v>49.3</v>
      </c>
      <c r="S31">
        <v>35.43</v>
      </c>
      <c r="T31">
        <v>5861.86</v>
      </c>
      <c r="U31">
        <v>0.72</v>
      </c>
      <c r="V31">
        <v>0.87</v>
      </c>
      <c r="W31">
        <v>3</v>
      </c>
      <c r="X31">
        <v>0.37</v>
      </c>
      <c r="Y31">
        <v>1</v>
      </c>
      <c r="Z31">
        <v>10</v>
      </c>
    </row>
    <row r="32" spans="1:26" x14ac:dyDescent="0.3">
      <c r="A32">
        <v>30</v>
      </c>
      <c r="B32">
        <v>145</v>
      </c>
      <c r="C32" t="s">
        <v>26</v>
      </c>
      <c r="D32">
        <v>5.8316999999999997</v>
      </c>
      <c r="E32">
        <v>17.149999999999999</v>
      </c>
      <c r="F32">
        <v>13.12</v>
      </c>
      <c r="G32">
        <v>39.36</v>
      </c>
      <c r="H32">
        <v>0.5</v>
      </c>
      <c r="I32">
        <v>20</v>
      </c>
      <c r="J32">
        <v>300.58999999999997</v>
      </c>
      <c r="K32">
        <v>61.2</v>
      </c>
      <c r="L32">
        <v>8.5</v>
      </c>
      <c r="M32">
        <v>18</v>
      </c>
      <c r="N32">
        <v>85.89</v>
      </c>
      <c r="O32">
        <v>37306.42</v>
      </c>
      <c r="P32">
        <v>216.6</v>
      </c>
      <c r="Q32">
        <v>988.1</v>
      </c>
      <c r="R32">
        <v>49.03</v>
      </c>
      <c r="S32">
        <v>35.43</v>
      </c>
      <c r="T32">
        <v>5727.2</v>
      </c>
      <c r="U32">
        <v>0.72</v>
      </c>
      <c r="V32">
        <v>0.87</v>
      </c>
      <c r="W32">
        <v>3</v>
      </c>
      <c r="X32">
        <v>0.37</v>
      </c>
      <c r="Y32">
        <v>1</v>
      </c>
      <c r="Z32">
        <v>10</v>
      </c>
    </row>
    <row r="33" spans="1:26" x14ac:dyDescent="0.3">
      <c r="A33">
        <v>31</v>
      </c>
      <c r="B33">
        <v>145</v>
      </c>
      <c r="C33" t="s">
        <v>26</v>
      </c>
      <c r="D33">
        <v>5.8543000000000003</v>
      </c>
      <c r="E33">
        <v>17.079999999999998</v>
      </c>
      <c r="F33">
        <v>13.11</v>
      </c>
      <c r="G33">
        <v>41.39</v>
      </c>
      <c r="H33">
        <v>0.52</v>
      </c>
      <c r="I33">
        <v>19</v>
      </c>
      <c r="J33">
        <v>301.11</v>
      </c>
      <c r="K33">
        <v>61.2</v>
      </c>
      <c r="L33">
        <v>8.75</v>
      </c>
      <c r="M33">
        <v>17</v>
      </c>
      <c r="N33">
        <v>86.16</v>
      </c>
      <c r="O33">
        <v>37371.47</v>
      </c>
      <c r="P33">
        <v>215.82</v>
      </c>
      <c r="Q33">
        <v>988.3</v>
      </c>
      <c r="R33">
        <v>48.71</v>
      </c>
      <c r="S33">
        <v>35.43</v>
      </c>
      <c r="T33">
        <v>5569.29</v>
      </c>
      <c r="U33">
        <v>0.73</v>
      </c>
      <c r="V33">
        <v>0.87</v>
      </c>
      <c r="W33">
        <v>2.99</v>
      </c>
      <c r="X33">
        <v>0.35</v>
      </c>
      <c r="Y33">
        <v>1</v>
      </c>
      <c r="Z33">
        <v>10</v>
      </c>
    </row>
    <row r="34" spans="1:26" x14ac:dyDescent="0.3">
      <c r="A34">
        <v>32</v>
      </c>
      <c r="B34">
        <v>145</v>
      </c>
      <c r="C34" t="s">
        <v>26</v>
      </c>
      <c r="D34">
        <v>5.8554000000000004</v>
      </c>
      <c r="E34">
        <v>17.079999999999998</v>
      </c>
      <c r="F34">
        <v>13.11</v>
      </c>
      <c r="G34">
        <v>41.39</v>
      </c>
      <c r="H34">
        <v>0.53</v>
      </c>
      <c r="I34">
        <v>19</v>
      </c>
      <c r="J34">
        <v>301.64</v>
      </c>
      <c r="K34">
        <v>61.2</v>
      </c>
      <c r="L34">
        <v>9</v>
      </c>
      <c r="M34">
        <v>17</v>
      </c>
      <c r="N34">
        <v>86.44</v>
      </c>
      <c r="O34">
        <v>37436.629999999997</v>
      </c>
      <c r="P34">
        <v>214.85</v>
      </c>
      <c r="Q34">
        <v>988.17</v>
      </c>
      <c r="R34">
        <v>48.79</v>
      </c>
      <c r="S34">
        <v>35.43</v>
      </c>
      <c r="T34">
        <v>5611.97</v>
      </c>
      <c r="U34">
        <v>0.73</v>
      </c>
      <c r="V34">
        <v>0.87</v>
      </c>
      <c r="W34">
        <v>2.99</v>
      </c>
      <c r="X34">
        <v>0.35</v>
      </c>
      <c r="Y34">
        <v>1</v>
      </c>
      <c r="Z34">
        <v>10</v>
      </c>
    </row>
    <row r="35" spans="1:26" x14ac:dyDescent="0.3">
      <c r="A35">
        <v>33</v>
      </c>
      <c r="B35">
        <v>145</v>
      </c>
      <c r="C35" t="s">
        <v>26</v>
      </c>
      <c r="D35">
        <v>5.8769</v>
      </c>
      <c r="E35">
        <v>17.02</v>
      </c>
      <c r="F35">
        <v>13.1</v>
      </c>
      <c r="G35">
        <v>43.66</v>
      </c>
      <c r="H35">
        <v>0.55000000000000004</v>
      </c>
      <c r="I35">
        <v>18</v>
      </c>
      <c r="J35">
        <v>302.17</v>
      </c>
      <c r="K35">
        <v>61.2</v>
      </c>
      <c r="L35">
        <v>9.25</v>
      </c>
      <c r="M35">
        <v>16</v>
      </c>
      <c r="N35">
        <v>86.72</v>
      </c>
      <c r="O35">
        <v>37501.910000000003</v>
      </c>
      <c r="P35">
        <v>214.58</v>
      </c>
      <c r="Q35">
        <v>988.17</v>
      </c>
      <c r="R35">
        <v>48.08</v>
      </c>
      <c r="S35">
        <v>35.43</v>
      </c>
      <c r="T35">
        <v>5262.68</v>
      </c>
      <c r="U35">
        <v>0.74</v>
      </c>
      <c r="V35">
        <v>0.87</v>
      </c>
      <c r="W35">
        <v>3</v>
      </c>
      <c r="X35">
        <v>0.34</v>
      </c>
      <c r="Y35">
        <v>1</v>
      </c>
      <c r="Z35">
        <v>10</v>
      </c>
    </row>
    <row r="36" spans="1:26" x14ac:dyDescent="0.3">
      <c r="A36">
        <v>34</v>
      </c>
      <c r="B36">
        <v>145</v>
      </c>
      <c r="C36" t="s">
        <v>26</v>
      </c>
      <c r="D36">
        <v>5.9078999999999997</v>
      </c>
      <c r="E36">
        <v>16.93</v>
      </c>
      <c r="F36">
        <v>13.06</v>
      </c>
      <c r="G36">
        <v>46.1</v>
      </c>
      <c r="H36">
        <v>0.56000000000000005</v>
      </c>
      <c r="I36">
        <v>17</v>
      </c>
      <c r="J36">
        <v>302.7</v>
      </c>
      <c r="K36">
        <v>61.2</v>
      </c>
      <c r="L36">
        <v>9.5</v>
      </c>
      <c r="M36">
        <v>15</v>
      </c>
      <c r="N36">
        <v>87</v>
      </c>
      <c r="O36">
        <v>37567.32</v>
      </c>
      <c r="P36">
        <v>212.01</v>
      </c>
      <c r="Q36">
        <v>988.08</v>
      </c>
      <c r="R36">
        <v>47.34</v>
      </c>
      <c r="S36">
        <v>35.43</v>
      </c>
      <c r="T36">
        <v>4897.4799999999996</v>
      </c>
      <c r="U36">
        <v>0.75</v>
      </c>
      <c r="V36">
        <v>0.87</v>
      </c>
      <c r="W36">
        <v>2.99</v>
      </c>
      <c r="X36">
        <v>0.31</v>
      </c>
      <c r="Y36">
        <v>1</v>
      </c>
      <c r="Z36">
        <v>10</v>
      </c>
    </row>
    <row r="37" spans="1:26" x14ac:dyDescent="0.3">
      <c r="A37">
        <v>35</v>
      </c>
      <c r="B37">
        <v>145</v>
      </c>
      <c r="C37" t="s">
        <v>26</v>
      </c>
      <c r="D37">
        <v>5.9062000000000001</v>
      </c>
      <c r="E37">
        <v>16.93</v>
      </c>
      <c r="F37">
        <v>13.07</v>
      </c>
      <c r="G37">
        <v>46.12</v>
      </c>
      <c r="H37">
        <v>0.56999999999999995</v>
      </c>
      <c r="I37">
        <v>17</v>
      </c>
      <c r="J37">
        <v>303.23</v>
      </c>
      <c r="K37">
        <v>61.2</v>
      </c>
      <c r="L37">
        <v>9.75</v>
      </c>
      <c r="M37">
        <v>15</v>
      </c>
      <c r="N37">
        <v>87.28</v>
      </c>
      <c r="O37">
        <v>37632.839999999997</v>
      </c>
      <c r="P37">
        <v>212.32</v>
      </c>
      <c r="Q37">
        <v>988.12</v>
      </c>
      <c r="R37">
        <v>47.66</v>
      </c>
      <c r="S37">
        <v>35.43</v>
      </c>
      <c r="T37">
        <v>5058.13</v>
      </c>
      <c r="U37">
        <v>0.74</v>
      </c>
      <c r="V37">
        <v>0.87</v>
      </c>
      <c r="W37">
        <v>2.98</v>
      </c>
      <c r="X37">
        <v>0.31</v>
      </c>
      <c r="Y37">
        <v>1</v>
      </c>
      <c r="Z37">
        <v>10</v>
      </c>
    </row>
    <row r="38" spans="1:26" x14ac:dyDescent="0.3">
      <c r="A38">
        <v>36</v>
      </c>
      <c r="B38">
        <v>145</v>
      </c>
      <c r="C38" t="s">
        <v>26</v>
      </c>
      <c r="D38">
        <v>5.9051</v>
      </c>
      <c r="E38">
        <v>16.93</v>
      </c>
      <c r="F38">
        <v>13.07</v>
      </c>
      <c r="G38">
        <v>46.13</v>
      </c>
      <c r="H38">
        <v>0.59</v>
      </c>
      <c r="I38">
        <v>17</v>
      </c>
      <c r="J38">
        <v>303.76</v>
      </c>
      <c r="K38">
        <v>61.2</v>
      </c>
      <c r="L38">
        <v>10</v>
      </c>
      <c r="M38">
        <v>15</v>
      </c>
      <c r="N38">
        <v>87.57</v>
      </c>
      <c r="O38">
        <v>37698.480000000003</v>
      </c>
      <c r="P38">
        <v>211.4</v>
      </c>
      <c r="Q38">
        <v>988.1</v>
      </c>
      <c r="R38">
        <v>47.58</v>
      </c>
      <c r="S38">
        <v>35.43</v>
      </c>
      <c r="T38">
        <v>5014.3599999999997</v>
      </c>
      <c r="U38">
        <v>0.74</v>
      </c>
      <c r="V38">
        <v>0.87</v>
      </c>
      <c r="W38">
        <v>2.99</v>
      </c>
      <c r="X38">
        <v>0.32</v>
      </c>
      <c r="Y38">
        <v>1</v>
      </c>
      <c r="Z38">
        <v>10</v>
      </c>
    </row>
    <row r="39" spans="1:26" x14ac:dyDescent="0.3">
      <c r="A39">
        <v>37</v>
      </c>
      <c r="B39">
        <v>145</v>
      </c>
      <c r="C39" t="s">
        <v>26</v>
      </c>
      <c r="D39">
        <v>5.9284999999999997</v>
      </c>
      <c r="E39">
        <v>16.87</v>
      </c>
      <c r="F39">
        <v>13.06</v>
      </c>
      <c r="G39">
        <v>48.96</v>
      </c>
      <c r="H39">
        <v>0.6</v>
      </c>
      <c r="I39">
        <v>16</v>
      </c>
      <c r="J39">
        <v>304.3</v>
      </c>
      <c r="K39">
        <v>61.2</v>
      </c>
      <c r="L39">
        <v>10.25</v>
      </c>
      <c r="M39">
        <v>14</v>
      </c>
      <c r="N39">
        <v>87.85</v>
      </c>
      <c r="O39">
        <v>37764.25</v>
      </c>
      <c r="P39">
        <v>211.16</v>
      </c>
      <c r="Q39">
        <v>988.1</v>
      </c>
      <c r="R39">
        <v>46.88</v>
      </c>
      <c r="S39">
        <v>35.43</v>
      </c>
      <c r="T39">
        <v>4668.66</v>
      </c>
      <c r="U39">
        <v>0.76</v>
      </c>
      <c r="V39">
        <v>0.87</v>
      </c>
      <c r="W39">
        <v>3</v>
      </c>
      <c r="X39">
        <v>0.3</v>
      </c>
      <c r="Y39">
        <v>1</v>
      </c>
      <c r="Z39">
        <v>10</v>
      </c>
    </row>
    <row r="40" spans="1:26" x14ac:dyDescent="0.3">
      <c r="A40">
        <v>38</v>
      </c>
      <c r="B40">
        <v>145</v>
      </c>
      <c r="C40" t="s">
        <v>26</v>
      </c>
      <c r="D40">
        <v>5.9271000000000003</v>
      </c>
      <c r="E40">
        <v>16.87</v>
      </c>
      <c r="F40">
        <v>13.06</v>
      </c>
      <c r="G40">
        <v>48.98</v>
      </c>
      <c r="H40">
        <v>0.61</v>
      </c>
      <c r="I40">
        <v>16</v>
      </c>
      <c r="J40">
        <v>304.83</v>
      </c>
      <c r="K40">
        <v>61.2</v>
      </c>
      <c r="L40">
        <v>10.5</v>
      </c>
      <c r="M40">
        <v>14</v>
      </c>
      <c r="N40">
        <v>88.13</v>
      </c>
      <c r="O40">
        <v>37830.129999999997</v>
      </c>
      <c r="P40">
        <v>210.7</v>
      </c>
      <c r="Q40">
        <v>988.13</v>
      </c>
      <c r="R40">
        <v>47.3</v>
      </c>
      <c r="S40">
        <v>35.43</v>
      </c>
      <c r="T40">
        <v>4883.4799999999996</v>
      </c>
      <c r="U40">
        <v>0.75</v>
      </c>
      <c r="V40">
        <v>0.87</v>
      </c>
      <c r="W40">
        <v>2.99</v>
      </c>
      <c r="X40">
        <v>0.31</v>
      </c>
      <c r="Y40">
        <v>1</v>
      </c>
      <c r="Z40">
        <v>10</v>
      </c>
    </row>
    <row r="41" spans="1:26" x14ac:dyDescent="0.3">
      <c r="A41">
        <v>39</v>
      </c>
      <c r="B41">
        <v>145</v>
      </c>
      <c r="C41" t="s">
        <v>26</v>
      </c>
      <c r="D41">
        <v>5.9546999999999999</v>
      </c>
      <c r="E41">
        <v>16.79</v>
      </c>
      <c r="F41">
        <v>13.04</v>
      </c>
      <c r="G41">
        <v>52.14</v>
      </c>
      <c r="H41">
        <v>0.63</v>
      </c>
      <c r="I41">
        <v>15</v>
      </c>
      <c r="J41">
        <v>305.37</v>
      </c>
      <c r="K41">
        <v>61.2</v>
      </c>
      <c r="L41">
        <v>10.75</v>
      </c>
      <c r="M41">
        <v>13</v>
      </c>
      <c r="N41">
        <v>88.42</v>
      </c>
      <c r="O41">
        <v>37896.14</v>
      </c>
      <c r="P41">
        <v>209.38</v>
      </c>
      <c r="Q41">
        <v>988.1</v>
      </c>
      <c r="R41">
        <v>46.64</v>
      </c>
      <c r="S41">
        <v>35.43</v>
      </c>
      <c r="T41">
        <v>4557.33</v>
      </c>
      <c r="U41">
        <v>0.76</v>
      </c>
      <c r="V41">
        <v>0.87</v>
      </c>
      <c r="W41">
        <v>2.99</v>
      </c>
      <c r="X41">
        <v>0.28000000000000003</v>
      </c>
      <c r="Y41">
        <v>1</v>
      </c>
      <c r="Z41">
        <v>10</v>
      </c>
    </row>
    <row r="42" spans="1:26" x14ac:dyDescent="0.3">
      <c r="A42">
        <v>40</v>
      </c>
      <c r="B42">
        <v>145</v>
      </c>
      <c r="C42" t="s">
        <v>26</v>
      </c>
      <c r="D42">
        <v>5.9545000000000003</v>
      </c>
      <c r="E42">
        <v>16.79</v>
      </c>
      <c r="F42">
        <v>13.04</v>
      </c>
      <c r="G42">
        <v>52.15</v>
      </c>
      <c r="H42">
        <v>0.64</v>
      </c>
      <c r="I42">
        <v>15</v>
      </c>
      <c r="J42">
        <v>305.89999999999998</v>
      </c>
      <c r="K42">
        <v>61.2</v>
      </c>
      <c r="L42">
        <v>11</v>
      </c>
      <c r="M42">
        <v>13</v>
      </c>
      <c r="N42">
        <v>88.7</v>
      </c>
      <c r="O42">
        <v>37962.28</v>
      </c>
      <c r="P42">
        <v>209.01</v>
      </c>
      <c r="Q42">
        <v>988.11</v>
      </c>
      <c r="R42">
        <v>46.57</v>
      </c>
      <c r="S42">
        <v>35.43</v>
      </c>
      <c r="T42">
        <v>4519.84</v>
      </c>
      <c r="U42">
        <v>0.76</v>
      </c>
      <c r="V42">
        <v>0.87</v>
      </c>
      <c r="W42">
        <v>2.99</v>
      </c>
      <c r="X42">
        <v>0.28000000000000003</v>
      </c>
      <c r="Y42">
        <v>1</v>
      </c>
      <c r="Z42">
        <v>10</v>
      </c>
    </row>
    <row r="43" spans="1:26" x14ac:dyDescent="0.3">
      <c r="A43">
        <v>41</v>
      </c>
      <c r="B43">
        <v>145</v>
      </c>
      <c r="C43" t="s">
        <v>26</v>
      </c>
      <c r="D43">
        <v>5.9587000000000003</v>
      </c>
      <c r="E43">
        <v>16.78</v>
      </c>
      <c r="F43">
        <v>13.02</v>
      </c>
      <c r="G43">
        <v>52.1</v>
      </c>
      <c r="H43">
        <v>0.65</v>
      </c>
      <c r="I43">
        <v>15</v>
      </c>
      <c r="J43">
        <v>306.44</v>
      </c>
      <c r="K43">
        <v>61.2</v>
      </c>
      <c r="L43">
        <v>11.25</v>
      </c>
      <c r="M43">
        <v>13</v>
      </c>
      <c r="N43">
        <v>88.99</v>
      </c>
      <c r="O43">
        <v>38028.53</v>
      </c>
      <c r="P43">
        <v>208.37</v>
      </c>
      <c r="Q43">
        <v>988.1</v>
      </c>
      <c r="R43">
        <v>46.2</v>
      </c>
      <c r="S43">
        <v>35.43</v>
      </c>
      <c r="T43">
        <v>4337.12</v>
      </c>
      <c r="U43">
        <v>0.77</v>
      </c>
      <c r="V43">
        <v>0.88</v>
      </c>
      <c r="W43">
        <v>2.99</v>
      </c>
      <c r="X43">
        <v>0.27</v>
      </c>
      <c r="Y43">
        <v>1</v>
      </c>
      <c r="Z43">
        <v>10</v>
      </c>
    </row>
    <row r="44" spans="1:26" x14ac:dyDescent="0.3">
      <c r="A44">
        <v>42</v>
      </c>
      <c r="B44">
        <v>145</v>
      </c>
      <c r="C44" t="s">
        <v>26</v>
      </c>
      <c r="D44">
        <v>5.9828000000000001</v>
      </c>
      <c r="E44">
        <v>16.71</v>
      </c>
      <c r="F44">
        <v>13.01</v>
      </c>
      <c r="G44">
        <v>55.76</v>
      </c>
      <c r="H44">
        <v>0.67</v>
      </c>
      <c r="I44">
        <v>14</v>
      </c>
      <c r="J44">
        <v>306.98</v>
      </c>
      <c r="K44">
        <v>61.2</v>
      </c>
      <c r="L44">
        <v>11.5</v>
      </c>
      <c r="M44">
        <v>12</v>
      </c>
      <c r="N44">
        <v>89.28</v>
      </c>
      <c r="O44">
        <v>38094.910000000003</v>
      </c>
      <c r="P44">
        <v>207.36</v>
      </c>
      <c r="Q44">
        <v>988.13</v>
      </c>
      <c r="R44">
        <v>45.58</v>
      </c>
      <c r="S44">
        <v>35.43</v>
      </c>
      <c r="T44">
        <v>4033.19</v>
      </c>
      <c r="U44">
        <v>0.78</v>
      </c>
      <c r="V44">
        <v>0.88</v>
      </c>
      <c r="W44">
        <v>2.99</v>
      </c>
      <c r="X44">
        <v>0.26</v>
      </c>
      <c r="Y44">
        <v>1</v>
      </c>
      <c r="Z44">
        <v>10</v>
      </c>
    </row>
    <row r="45" spans="1:26" x14ac:dyDescent="0.3">
      <c r="A45">
        <v>43</v>
      </c>
      <c r="B45">
        <v>145</v>
      </c>
      <c r="C45" t="s">
        <v>26</v>
      </c>
      <c r="D45">
        <v>5.9861000000000004</v>
      </c>
      <c r="E45">
        <v>16.71</v>
      </c>
      <c r="F45">
        <v>13</v>
      </c>
      <c r="G45">
        <v>55.72</v>
      </c>
      <c r="H45">
        <v>0.68</v>
      </c>
      <c r="I45">
        <v>14</v>
      </c>
      <c r="J45">
        <v>307.52</v>
      </c>
      <c r="K45">
        <v>61.2</v>
      </c>
      <c r="L45">
        <v>11.75</v>
      </c>
      <c r="M45">
        <v>12</v>
      </c>
      <c r="N45">
        <v>89.57</v>
      </c>
      <c r="O45">
        <v>38161.42</v>
      </c>
      <c r="P45">
        <v>207.21</v>
      </c>
      <c r="Q45">
        <v>988.17</v>
      </c>
      <c r="R45">
        <v>45.48</v>
      </c>
      <c r="S45">
        <v>35.43</v>
      </c>
      <c r="T45">
        <v>3981.96</v>
      </c>
      <c r="U45">
        <v>0.78</v>
      </c>
      <c r="V45">
        <v>0.88</v>
      </c>
      <c r="W45">
        <v>2.99</v>
      </c>
      <c r="X45">
        <v>0.25</v>
      </c>
      <c r="Y45">
        <v>1</v>
      </c>
      <c r="Z45">
        <v>10</v>
      </c>
    </row>
    <row r="46" spans="1:26" x14ac:dyDescent="0.3">
      <c r="A46">
        <v>44</v>
      </c>
      <c r="B46">
        <v>145</v>
      </c>
      <c r="C46" t="s">
        <v>26</v>
      </c>
      <c r="D46">
        <v>5.9863</v>
      </c>
      <c r="E46">
        <v>16.7</v>
      </c>
      <c r="F46">
        <v>13</v>
      </c>
      <c r="G46">
        <v>55.72</v>
      </c>
      <c r="H46">
        <v>0.69</v>
      </c>
      <c r="I46">
        <v>14</v>
      </c>
      <c r="J46">
        <v>308.06</v>
      </c>
      <c r="K46">
        <v>61.2</v>
      </c>
      <c r="L46">
        <v>12</v>
      </c>
      <c r="M46">
        <v>12</v>
      </c>
      <c r="N46">
        <v>89.86</v>
      </c>
      <c r="O46">
        <v>38228.06</v>
      </c>
      <c r="P46">
        <v>206.3</v>
      </c>
      <c r="Q46">
        <v>988.12</v>
      </c>
      <c r="R46">
        <v>45.23</v>
      </c>
      <c r="S46">
        <v>35.43</v>
      </c>
      <c r="T46">
        <v>3858.57</v>
      </c>
      <c r="U46">
        <v>0.78</v>
      </c>
      <c r="V46">
        <v>0.88</v>
      </c>
      <c r="W46">
        <v>2.99</v>
      </c>
      <c r="X46">
        <v>0.25</v>
      </c>
      <c r="Y46">
        <v>1</v>
      </c>
      <c r="Z46">
        <v>10</v>
      </c>
    </row>
    <row r="47" spans="1:26" x14ac:dyDescent="0.3">
      <c r="A47">
        <v>45</v>
      </c>
      <c r="B47">
        <v>145</v>
      </c>
      <c r="C47" t="s">
        <v>26</v>
      </c>
      <c r="D47">
        <v>6.0117000000000003</v>
      </c>
      <c r="E47">
        <v>16.63</v>
      </c>
      <c r="F47">
        <v>12.98</v>
      </c>
      <c r="G47">
        <v>59.93</v>
      </c>
      <c r="H47">
        <v>0.71</v>
      </c>
      <c r="I47">
        <v>13</v>
      </c>
      <c r="J47">
        <v>308.60000000000002</v>
      </c>
      <c r="K47">
        <v>61.2</v>
      </c>
      <c r="L47">
        <v>12.25</v>
      </c>
      <c r="M47">
        <v>11</v>
      </c>
      <c r="N47">
        <v>90.15</v>
      </c>
      <c r="O47">
        <v>38294.82</v>
      </c>
      <c r="P47">
        <v>204.67</v>
      </c>
      <c r="Q47">
        <v>988.09</v>
      </c>
      <c r="R47">
        <v>44.97</v>
      </c>
      <c r="S47">
        <v>35.43</v>
      </c>
      <c r="T47">
        <v>3730.52</v>
      </c>
      <c r="U47">
        <v>0.79</v>
      </c>
      <c r="V47">
        <v>0.88</v>
      </c>
      <c r="W47">
        <v>2.98</v>
      </c>
      <c r="X47">
        <v>0.23</v>
      </c>
      <c r="Y47">
        <v>1</v>
      </c>
      <c r="Z47">
        <v>10</v>
      </c>
    </row>
    <row r="48" spans="1:26" x14ac:dyDescent="0.3">
      <c r="A48">
        <v>46</v>
      </c>
      <c r="B48">
        <v>145</v>
      </c>
      <c r="C48" t="s">
        <v>26</v>
      </c>
      <c r="D48">
        <v>6.0076000000000001</v>
      </c>
      <c r="E48">
        <v>16.649999999999999</v>
      </c>
      <c r="F48">
        <v>13</v>
      </c>
      <c r="G48">
        <v>59.98</v>
      </c>
      <c r="H48">
        <v>0.72</v>
      </c>
      <c r="I48">
        <v>13</v>
      </c>
      <c r="J48">
        <v>309.14</v>
      </c>
      <c r="K48">
        <v>61.2</v>
      </c>
      <c r="L48">
        <v>12.5</v>
      </c>
      <c r="M48">
        <v>11</v>
      </c>
      <c r="N48">
        <v>90.44</v>
      </c>
      <c r="O48">
        <v>38361.699999999997</v>
      </c>
      <c r="P48">
        <v>204.64</v>
      </c>
      <c r="Q48">
        <v>988.13</v>
      </c>
      <c r="R48">
        <v>45.32</v>
      </c>
      <c r="S48">
        <v>35.43</v>
      </c>
      <c r="T48">
        <v>3905.17</v>
      </c>
      <c r="U48">
        <v>0.78</v>
      </c>
      <c r="V48">
        <v>0.88</v>
      </c>
      <c r="W48">
        <v>2.98</v>
      </c>
      <c r="X48">
        <v>0.24</v>
      </c>
      <c r="Y48">
        <v>1</v>
      </c>
      <c r="Z48">
        <v>10</v>
      </c>
    </row>
    <row r="49" spans="1:26" x14ac:dyDescent="0.3">
      <c r="A49">
        <v>47</v>
      </c>
      <c r="B49">
        <v>145</v>
      </c>
      <c r="C49" t="s">
        <v>26</v>
      </c>
      <c r="D49">
        <v>6.0084999999999997</v>
      </c>
      <c r="E49">
        <v>16.64</v>
      </c>
      <c r="F49">
        <v>12.99</v>
      </c>
      <c r="G49">
        <v>59.97</v>
      </c>
      <c r="H49">
        <v>0.73</v>
      </c>
      <c r="I49">
        <v>13</v>
      </c>
      <c r="J49">
        <v>309.68</v>
      </c>
      <c r="K49">
        <v>61.2</v>
      </c>
      <c r="L49">
        <v>12.75</v>
      </c>
      <c r="M49">
        <v>11</v>
      </c>
      <c r="N49">
        <v>90.74</v>
      </c>
      <c r="O49">
        <v>38428.720000000001</v>
      </c>
      <c r="P49">
        <v>204.09</v>
      </c>
      <c r="Q49">
        <v>988.15</v>
      </c>
      <c r="R49">
        <v>45.12</v>
      </c>
      <c r="S49">
        <v>35.43</v>
      </c>
      <c r="T49">
        <v>3808.43</v>
      </c>
      <c r="U49">
        <v>0.79</v>
      </c>
      <c r="V49">
        <v>0.88</v>
      </c>
      <c r="W49">
        <v>2.99</v>
      </c>
      <c r="X49">
        <v>0.24</v>
      </c>
      <c r="Y49">
        <v>1</v>
      </c>
      <c r="Z49">
        <v>10</v>
      </c>
    </row>
    <row r="50" spans="1:26" x14ac:dyDescent="0.3">
      <c r="A50">
        <v>48</v>
      </c>
      <c r="B50">
        <v>145</v>
      </c>
      <c r="C50" t="s">
        <v>26</v>
      </c>
      <c r="D50">
        <v>6.0143000000000004</v>
      </c>
      <c r="E50">
        <v>16.63</v>
      </c>
      <c r="F50">
        <v>12.98</v>
      </c>
      <c r="G50">
        <v>59.89</v>
      </c>
      <c r="H50">
        <v>0.75</v>
      </c>
      <c r="I50">
        <v>13</v>
      </c>
      <c r="J50">
        <v>310.23</v>
      </c>
      <c r="K50">
        <v>61.2</v>
      </c>
      <c r="L50">
        <v>13</v>
      </c>
      <c r="M50">
        <v>11</v>
      </c>
      <c r="N50">
        <v>91.03</v>
      </c>
      <c r="O50">
        <v>38495.870000000003</v>
      </c>
      <c r="P50">
        <v>202.84</v>
      </c>
      <c r="Q50">
        <v>988.08</v>
      </c>
      <c r="R50">
        <v>44.68</v>
      </c>
      <c r="S50">
        <v>35.43</v>
      </c>
      <c r="T50">
        <v>3586.44</v>
      </c>
      <c r="U50">
        <v>0.79</v>
      </c>
      <c r="V50">
        <v>0.88</v>
      </c>
      <c r="W50">
        <v>2.98</v>
      </c>
      <c r="X50">
        <v>0.22</v>
      </c>
      <c r="Y50">
        <v>1</v>
      </c>
      <c r="Z50">
        <v>10</v>
      </c>
    </row>
    <row r="51" spans="1:26" x14ac:dyDescent="0.3">
      <c r="A51">
        <v>49</v>
      </c>
      <c r="B51">
        <v>145</v>
      </c>
      <c r="C51" t="s">
        <v>26</v>
      </c>
      <c r="D51">
        <v>6.0377999999999998</v>
      </c>
      <c r="E51">
        <v>16.559999999999999</v>
      </c>
      <c r="F51">
        <v>12.97</v>
      </c>
      <c r="G51">
        <v>64.83</v>
      </c>
      <c r="H51">
        <v>0.76</v>
      </c>
      <c r="I51">
        <v>12</v>
      </c>
      <c r="J51">
        <v>310.77</v>
      </c>
      <c r="K51">
        <v>61.2</v>
      </c>
      <c r="L51">
        <v>13.25</v>
      </c>
      <c r="M51">
        <v>10</v>
      </c>
      <c r="N51">
        <v>91.33</v>
      </c>
      <c r="O51">
        <v>38563.14</v>
      </c>
      <c r="P51">
        <v>201.94</v>
      </c>
      <c r="Q51">
        <v>988.08</v>
      </c>
      <c r="R51">
        <v>44.42</v>
      </c>
      <c r="S51">
        <v>35.43</v>
      </c>
      <c r="T51">
        <v>3458.75</v>
      </c>
      <c r="U51">
        <v>0.8</v>
      </c>
      <c r="V51">
        <v>0.88</v>
      </c>
      <c r="W51">
        <v>2.98</v>
      </c>
      <c r="X51">
        <v>0.21</v>
      </c>
      <c r="Y51">
        <v>1</v>
      </c>
      <c r="Z51">
        <v>10</v>
      </c>
    </row>
    <row r="52" spans="1:26" x14ac:dyDescent="0.3">
      <c r="A52">
        <v>50</v>
      </c>
      <c r="B52">
        <v>145</v>
      </c>
      <c r="C52" t="s">
        <v>26</v>
      </c>
      <c r="D52">
        <v>6.0362</v>
      </c>
      <c r="E52">
        <v>16.57</v>
      </c>
      <c r="F52">
        <v>12.97</v>
      </c>
      <c r="G52">
        <v>64.849999999999994</v>
      </c>
      <c r="H52">
        <v>0.77</v>
      </c>
      <c r="I52">
        <v>12</v>
      </c>
      <c r="J52">
        <v>311.32</v>
      </c>
      <c r="K52">
        <v>61.2</v>
      </c>
      <c r="L52">
        <v>13.5</v>
      </c>
      <c r="M52">
        <v>10</v>
      </c>
      <c r="N52">
        <v>91.62</v>
      </c>
      <c r="O52">
        <v>38630.550000000003</v>
      </c>
      <c r="P52">
        <v>201.59</v>
      </c>
      <c r="Q52">
        <v>988.15</v>
      </c>
      <c r="R52">
        <v>44.41</v>
      </c>
      <c r="S52">
        <v>35.43</v>
      </c>
      <c r="T52">
        <v>3457.76</v>
      </c>
      <c r="U52">
        <v>0.8</v>
      </c>
      <c r="V52">
        <v>0.88</v>
      </c>
      <c r="W52">
        <v>2.99</v>
      </c>
      <c r="X52">
        <v>0.22</v>
      </c>
      <c r="Y52">
        <v>1</v>
      </c>
      <c r="Z52">
        <v>10</v>
      </c>
    </row>
    <row r="53" spans="1:26" x14ac:dyDescent="0.3">
      <c r="A53">
        <v>51</v>
      </c>
      <c r="B53">
        <v>145</v>
      </c>
      <c r="C53" t="s">
        <v>26</v>
      </c>
      <c r="D53">
        <v>6.0362999999999998</v>
      </c>
      <c r="E53">
        <v>16.57</v>
      </c>
      <c r="F53">
        <v>12.97</v>
      </c>
      <c r="G53">
        <v>64.849999999999994</v>
      </c>
      <c r="H53">
        <v>0.79</v>
      </c>
      <c r="I53">
        <v>12</v>
      </c>
      <c r="J53">
        <v>311.87</v>
      </c>
      <c r="K53">
        <v>61.2</v>
      </c>
      <c r="L53">
        <v>13.75</v>
      </c>
      <c r="M53">
        <v>10</v>
      </c>
      <c r="N53">
        <v>91.92</v>
      </c>
      <c r="O53">
        <v>38698.21</v>
      </c>
      <c r="P53">
        <v>201.34</v>
      </c>
      <c r="Q53">
        <v>988.11</v>
      </c>
      <c r="R53">
        <v>44.27</v>
      </c>
      <c r="S53">
        <v>35.43</v>
      </c>
      <c r="T53">
        <v>3385.06</v>
      </c>
      <c r="U53">
        <v>0.8</v>
      </c>
      <c r="V53">
        <v>0.88</v>
      </c>
      <c r="W53">
        <v>2.99</v>
      </c>
      <c r="X53">
        <v>0.22</v>
      </c>
      <c r="Y53">
        <v>1</v>
      </c>
      <c r="Z53">
        <v>10</v>
      </c>
    </row>
    <row r="54" spans="1:26" x14ac:dyDescent="0.3">
      <c r="A54">
        <v>52</v>
      </c>
      <c r="B54">
        <v>145</v>
      </c>
      <c r="C54" t="s">
        <v>26</v>
      </c>
      <c r="D54">
        <v>6.0377999999999998</v>
      </c>
      <c r="E54">
        <v>16.559999999999999</v>
      </c>
      <c r="F54">
        <v>12.97</v>
      </c>
      <c r="G54">
        <v>64.83</v>
      </c>
      <c r="H54">
        <v>0.8</v>
      </c>
      <c r="I54">
        <v>12</v>
      </c>
      <c r="J54">
        <v>312.42</v>
      </c>
      <c r="K54">
        <v>61.2</v>
      </c>
      <c r="L54">
        <v>14</v>
      </c>
      <c r="M54">
        <v>10</v>
      </c>
      <c r="N54">
        <v>92.22</v>
      </c>
      <c r="O54">
        <v>38765.89</v>
      </c>
      <c r="P54">
        <v>200.02</v>
      </c>
      <c r="Q54">
        <v>988.08</v>
      </c>
      <c r="R54">
        <v>44.4</v>
      </c>
      <c r="S54">
        <v>35.43</v>
      </c>
      <c r="T54">
        <v>3450.5</v>
      </c>
      <c r="U54">
        <v>0.8</v>
      </c>
      <c r="V54">
        <v>0.88</v>
      </c>
      <c r="W54">
        <v>2.98</v>
      </c>
      <c r="X54">
        <v>0.21</v>
      </c>
      <c r="Y54">
        <v>1</v>
      </c>
      <c r="Z54">
        <v>10</v>
      </c>
    </row>
    <row r="55" spans="1:26" x14ac:dyDescent="0.3">
      <c r="A55">
        <v>53</v>
      </c>
      <c r="B55">
        <v>145</v>
      </c>
      <c r="C55" t="s">
        <v>26</v>
      </c>
      <c r="D55">
        <v>6.0643000000000002</v>
      </c>
      <c r="E55">
        <v>16.489999999999998</v>
      </c>
      <c r="F55">
        <v>12.95</v>
      </c>
      <c r="G55">
        <v>70.63</v>
      </c>
      <c r="H55">
        <v>0.81</v>
      </c>
      <c r="I55">
        <v>11</v>
      </c>
      <c r="J55">
        <v>312.97000000000003</v>
      </c>
      <c r="K55">
        <v>61.2</v>
      </c>
      <c r="L55">
        <v>14.25</v>
      </c>
      <c r="M55">
        <v>9</v>
      </c>
      <c r="N55">
        <v>92.52</v>
      </c>
      <c r="O55">
        <v>38833.69</v>
      </c>
      <c r="P55">
        <v>198.94</v>
      </c>
      <c r="Q55">
        <v>988.15</v>
      </c>
      <c r="R55">
        <v>43.89</v>
      </c>
      <c r="S55">
        <v>35.43</v>
      </c>
      <c r="T55">
        <v>3199.85</v>
      </c>
      <c r="U55">
        <v>0.81</v>
      </c>
      <c r="V55">
        <v>0.88</v>
      </c>
      <c r="W55">
        <v>2.98</v>
      </c>
      <c r="X55">
        <v>0.19</v>
      </c>
      <c r="Y55">
        <v>1</v>
      </c>
      <c r="Z55">
        <v>10</v>
      </c>
    </row>
    <row r="56" spans="1:26" x14ac:dyDescent="0.3">
      <c r="A56">
        <v>54</v>
      </c>
      <c r="B56">
        <v>145</v>
      </c>
      <c r="C56" t="s">
        <v>26</v>
      </c>
      <c r="D56">
        <v>6.0587</v>
      </c>
      <c r="E56">
        <v>16.510000000000002</v>
      </c>
      <c r="F56">
        <v>12.96</v>
      </c>
      <c r="G56">
        <v>70.709999999999994</v>
      </c>
      <c r="H56">
        <v>0.82</v>
      </c>
      <c r="I56">
        <v>11</v>
      </c>
      <c r="J56">
        <v>313.52</v>
      </c>
      <c r="K56">
        <v>61.2</v>
      </c>
      <c r="L56">
        <v>14.5</v>
      </c>
      <c r="M56">
        <v>9</v>
      </c>
      <c r="N56">
        <v>92.82</v>
      </c>
      <c r="O56">
        <v>38901.629999999997</v>
      </c>
      <c r="P56">
        <v>199.15</v>
      </c>
      <c r="Q56">
        <v>988.08</v>
      </c>
      <c r="R56">
        <v>44.22</v>
      </c>
      <c r="S56">
        <v>35.43</v>
      </c>
      <c r="T56">
        <v>3364.56</v>
      </c>
      <c r="U56">
        <v>0.8</v>
      </c>
      <c r="V56">
        <v>0.88</v>
      </c>
      <c r="W56">
        <v>2.99</v>
      </c>
      <c r="X56">
        <v>0.21</v>
      </c>
      <c r="Y56">
        <v>1</v>
      </c>
      <c r="Z56">
        <v>10</v>
      </c>
    </row>
    <row r="57" spans="1:26" x14ac:dyDescent="0.3">
      <c r="A57">
        <v>55</v>
      </c>
      <c r="B57">
        <v>145</v>
      </c>
      <c r="C57" t="s">
        <v>26</v>
      </c>
      <c r="D57">
        <v>6.0646000000000004</v>
      </c>
      <c r="E57">
        <v>16.489999999999998</v>
      </c>
      <c r="F57">
        <v>12.95</v>
      </c>
      <c r="G57">
        <v>70.62</v>
      </c>
      <c r="H57">
        <v>0.84</v>
      </c>
      <c r="I57">
        <v>11</v>
      </c>
      <c r="J57">
        <v>314.07</v>
      </c>
      <c r="K57">
        <v>61.2</v>
      </c>
      <c r="L57">
        <v>14.75</v>
      </c>
      <c r="M57">
        <v>9</v>
      </c>
      <c r="N57">
        <v>93.12</v>
      </c>
      <c r="O57">
        <v>38969.71</v>
      </c>
      <c r="P57">
        <v>198.56</v>
      </c>
      <c r="Q57">
        <v>988.08</v>
      </c>
      <c r="R57">
        <v>43.8</v>
      </c>
      <c r="S57">
        <v>35.43</v>
      </c>
      <c r="T57">
        <v>3154.76</v>
      </c>
      <c r="U57">
        <v>0.81</v>
      </c>
      <c r="V57">
        <v>0.88</v>
      </c>
      <c r="W57">
        <v>2.98</v>
      </c>
      <c r="X57">
        <v>0.19</v>
      </c>
      <c r="Y57">
        <v>1</v>
      </c>
      <c r="Z57">
        <v>10</v>
      </c>
    </row>
    <row r="58" spans="1:26" x14ac:dyDescent="0.3">
      <c r="A58">
        <v>56</v>
      </c>
      <c r="B58">
        <v>145</v>
      </c>
      <c r="C58" t="s">
        <v>26</v>
      </c>
      <c r="D58">
        <v>6.0621999999999998</v>
      </c>
      <c r="E58">
        <v>16.5</v>
      </c>
      <c r="F58">
        <v>12.95</v>
      </c>
      <c r="G58">
        <v>70.66</v>
      </c>
      <c r="H58">
        <v>0.85</v>
      </c>
      <c r="I58">
        <v>11</v>
      </c>
      <c r="J58">
        <v>314.62</v>
      </c>
      <c r="K58">
        <v>61.2</v>
      </c>
      <c r="L58">
        <v>15</v>
      </c>
      <c r="M58">
        <v>9</v>
      </c>
      <c r="N58">
        <v>93.43</v>
      </c>
      <c r="O58">
        <v>39037.919999999998</v>
      </c>
      <c r="P58">
        <v>197.95</v>
      </c>
      <c r="Q58">
        <v>988.1</v>
      </c>
      <c r="R58">
        <v>43.97</v>
      </c>
      <c r="S58">
        <v>35.43</v>
      </c>
      <c r="T58">
        <v>3239.7</v>
      </c>
      <c r="U58">
        <v>0.81</v>
      </c>
      <c r="V58">
        <v>0.88</v>
      </c>
      <c r="W58">
        <v>2.98</v>
      </c>
      <c r="X58">
        <v>0.2</v>
      </c>
      <c r="Y58">
        <v>1</v>
      </c>
      <c r="Z58">
        <v>10</v>
      </c>
    </row>
    <row r="59" spans="1:26" x14ac:dyDescent="0.3">
      <c r="A59">
        <v>57</v>
      </c>
      <c r="B59">
        <v>145</v>
      </c>
      <c r="C59" t="s">
        <v>26</v>
      </c>
      <c r="D59">
        <v>6.0644999999999998</v>
      </c>
      <c r="E59">
        <v>16.489999999999998</v>
      </c>
      <c r="F59">
        <v>12.95</v>
      </c>
      <c r="G59">
        <v>70.62</v>
      </c>
      <c r="H59">
        <v>0.86</v>
      </c>
      <c r="I59">
        <v>11</v>
      </c>
      <c r="J59">
        <v>315.18</v>
      </c>
      <c r="K59">
        <v>61.2</v>
      </c>
      <c r="L59">
        <v>15.25</v>
      </c>
      <c r="M59">
        <v>9</v>
      </c>
      <c r="N59">
        <v>93.73</v>
      </c>
      <c r="O59">
        <v>39106.269999999997</v>
      </c>
      <c r="P59">
        <v>196.73</v>
      </c>
      <c r="Q59">
        <v>988.08</v>
      </c>
      <c r="R59">
        <v>43.9</v>
      </c>
      <c r="S59">
        <v>35.43</v>
      </c>
      <c r="T59">
        <v>3205.84</v>
      </c>
      <c r="U59">
        <v>0.81</v>
      </c>
      <c r="V59">
        <v>0.88</v>
      </c>
      <c r="W59">
        <v>2.98</v>
      </c>
      <c r="X59">
        <v>0.19</v>
      </c>
      <c r="Y59">
        <v>1</v>
      </c>
      <c r="Z59">
        <v>10</v>
      </c>
    </row>
    <row r="60" spans="1:26" x14ac:dyDescent="0.3">
      <c r="A60">
        <v>58</v>
      </c>
      <c r="B60">
        <v>145</v>
      </c>
      <c r="C60" t="s">
        <v>26</v>
      </c>
      <c r="D60">
        <v>6.0933999999999999</v>
      </c>
      <c r="E60">
        <v>16.41</v>
      </c>
      <c r="F60">
        <v>12.92</v>
      </c>
      <c r="G60">
        <v>77.540000000000006</v>
      </c>
      <c r="H60">
        <v>0.87</v>
      </c>
      <c r="I60">
        <v>10</v>
      </c>
      <c r="J60">
        <v>315.73</v>
      </c>
      <c r="K60">
        <v>61.2</v>
      </c>
      <c r="L60">
        <v>15.5</v>
      </c>
      <c r="M60">
        <v>8</v>
      </c>
      <c r="N60">
        <v>94.03</v>
      </c>
      <c r="O60">
        <v>39174.75</v>
      </c>
      <c r="P60">
        <v>194.87</v>
      </c>
      <c r="Q60">
        <v>988.08</v>
      </c>
      <c r="R60">
        <v>43.05</v>
      </c>
      <c r="S60">
        <v>35.43</v>
      </c>
      <c r="T60">
        <v>2785.01</v>
      </c>
      <c r="U60">
        <v>0.82</v>
      </c>
      <c r="V60">
        <v>0.88</v>
      </c>
      <c r="W60">
        <v>2.98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145</v>
      </c>
      <c r="C61" t="s">
        <v>26</v>
      </c>
      <c r="D61">
        <v>6.0914000000000001</v>
      </c>
      <c r="E61">
        <v>16.420000000000002</v>
      </c>
      <c r="F61">
        <v>12.93</v>
      </c>
      <c r="G61">
        <v>77.569999999999993</v>
      </c>
      <c r="H61">
        <v>0.89</v>
      </c>
      <c r="I61">
        <v>10</v>
      </c>
      <c r="J61">
        <v>316.29000000000002</v>
      </c>
      <c r="K61">
        <v>61.2</v>
      </c>
      <c r="L61">
        <v>15.75</v>
      </c>
      <c r="M61">
        <v>8</v>
      </c>
      <c r="N61">
        <v>94.34</v>
      </c>
      <c r="O61">
        <v>39243.370000000003</v>
      </c>
      <c r="P61">
        <v>194.95</v>
      </c>
      <c r="Q61">
        <v>988.16</v>
      </c>
      <c r="R61">
        <v>43.13</v>
      </c>
      <c r="S61">
        <v>35.43</v>
      </c>
      <c r="T61">
        <v>2823.78</v>
      </c>
      <c r="U61">
        <v>0.82</v>
      </c>
      <c r="V61">
        <v>0.88</v>
      </c>
      <c r="W61">
        <v>2.98</v>
      </c>
      <c r="X61">
        <v>0.17</v>
      </c>
      <c r="Y61">
        <v>1</v>
      </c>
      <c r="Z61">
        <v>10</v>
      </c>
    </row>
    <row r="62" spans="1:26" x14ac:dyDescent="0.3">
      <c r="A62">
        <v>60</v>
      </c>
      <c r="B62">
        <v>145</v>
      </c>
      <c r="C62" t="s">
        <v>26</v>
      </c>
      <c r="D62">
        <v>6.0929000000000002</v>
      </c>
      <c r="E62">
        <v>16.41</v>
      </c>
      <c r="F62">
        <v>12.92</v>
      </c>
      <c r="G62">
        <v>77.55</v>
      </c>
      <c r="H62">
        <v>0.9</v>
      </c>
      <c r="I62">
        <v>10</v>
      </c>
      <c r="J62">
        <v>316.85000000000002</v>
      </c>
      <c r="K62">
        <v>61.2</v>
      </c>
      <c r="L62">
        <v>16</v>
      </c>
      <c r="M62">
        <v>8</v>
      </c>
      <c r="N62">
        <v>94.65</v>
      </c>
      <c r="O62">
        <v>39312.129999999997</v>
      </c>
      <c r="P62">
        <v>193.71</v>
      </c>
      <c r="Q62">
        <v>988.09</v>
      </c>
      <c r="R62">
        <v>43</v>
      </c>
      <c r="S62">
        <v>35.43</v>
      </c>
      <c r="T62">
        <v>2763.4</v>
      </c>
      <c r="U62">
        <v>0.82</v>
      </c>
      <c r="V62">
        <v>0.88</v>
      </c>
      <c r="W62">
        <v>2.98</v>
      </c>
      <c r="X62">
        <v>0.17</v>
      </c>
      <c r="Y62">
        <v>1</v>
      </c>
      <c r="Z62">
        <v>10</v>
      </c>
    </row>
    <row r="63" spans="1:26" x14ac:dyDescent="0.3">
      <c r="A63">
        <v>61</v>
      </c>
      <c r="B63">
        <v>145</v>
      </c>
      <c r="C63" t="s">
        <v>26</v>
      </c>
      <c r="D63">
        <v>6.0900999999999996</v>
      </c>
      <c r="E63">
        <v>16.420000000000002</v>
      </c>
      <c r="F63">
        <v>12.93</v>
      </c>
      <c r="G63">
        <v>77.59</v>
      </c>
      <c r="H63">
        <v>0.91</v>
      </c>
      <c r="I63">
        <v>10</v>
      </c>
      <c r="J63">
        <v>317.41000000000003</v>
      </c>
      <c r="K63">
        <v>61.2</v>
      </c>
      <c r="L63">
        <v>16.25</v>
      </c>
      <c r="M63">
        <v>8</v>
      </c>
      <c r="N63">
        <v>94.96</v>
      </c>
      <c r="O63">
        <v>39381.03</v>
      </c>
      <c r="P63">
        <v>193.3</v>
      </c>
      <c r="Q63">
        <v>988.16</v>
      </c>
      <c r="R63">
        <v>43.28</v>
      </c>
      <c r="S63">
        <v>35.43</v>
      </c>
      <c r="T63">
        <v>2902.19</v>
      </c>
      <c r="U63">
        <v>0.82</v>
      </c>
      <c r="V63">
        <v>0.88</v>
      </c>
      <c r="W63">
        <v>2.98</v>
      </c>
      <c r="X63">
        <v>0.18</v>
      </c>
      <c r="Y63">
        <v>1</v>
      </c>
      <c r="Z63">
        <v>10</v>
      </c>
    </row>
    <row r="64" spans="1:26" x14ac:dyDescent="0.3">
      <c r="A64">
        <v>62</v>
      </c>
      <c r="B64">
        <v>145</v>
      </c>
      <c r="C64" t="s">
        <v>26</v>
      </c>
      <c r="D64">
        <v>6.0896999999999997</v>
      </c>
      <c r="E64">
        <v>16.420000000000002</v>
      </c>
      <c r="F64">
        <v>12.93</v>
      </c>
      <c r="G64">
        <v>77.599999999999994</v>
      </c>
      <c r="H64">
        <v>0.92</v>
      </c>
      <c r="I64">
        <v>10</v>
      </c>
      <c r="J64">
        <v>317.97000000000003</v>
      </c>
      <c r="K64">
        <v>61.2</v>
      </c>
      <c r="L64">
        <v>16.5</v>
      </c>
      <c r="M64">
        <v>8</v>
      </c>
      <c r="N64">
        <v>95.27</v>
      </c>
      <c r="O64">
        <v>39450.07</v>
      </c>
      <c r="P64">
        <v>192.98</v>
      </c>
      <c r="Q64">
        <v>988.11</v>
      </c>
      <c r="R64">
        <v>43.27</v>
      </c>
      <c r="S64">
        <v>35.43</v>
      </c>
      <c r="T64">
        <v>2898.02</v>
      </c>
      <c r="U64">
        <v>0.82</v>
      </c>
      <c r="V64">
        <v>0.88</v>
      </c>
      <c r="W64">
        <v>2.98</v>
      </c>
      <c r="X64">
        <v>0.18</v>
      </c>
      <c r="Y64">
        <v>1</v>
      </c>
      <c r="Z64">
        <v>10</v>
      </c>
    </row>
    <row r="65" spans="1:26" x14ac:dyDescent="0.3">
      <c r="A65">
        <v>63</v>
      </c>
      <c r="B65">
        <v>145</v>
      </c>
      <c r="C65" t="s">
        <v>26</v>
      </c>
      <c r="D65">
        <v>6.0911</v>
      </c>
      <c r="E65">
        <v>16.420000000000002</v>
      </c>
      <c r="F65">
        <v>12.93</v>
      </c>
      <c r="G65">
        <v>77.58</v>
      </c>
      <c r="H65">
        <v>0.94</v>
      </c>
      <c r="I65">
        <v>10</v>
      </c>
      <c r="J65">
        <v>318.52999999999997</v>
      </c>
      <c r="K65">
        <v>61.2</v>
      </c>
      <c r="L65">
        <v>16.75</v>
      </c>
      <c r="M65">
        <v>8</v>
      </c>
      <c r="N65">
        <v>95.58</v>
      </c>
      <c r="O65">
        <v>39519.26</v>
      </c>
      <c r="P65">
        <v>191.81</v>
      </c>
      <c r="Q65">
        <v>988.11</v>
      </c>
      <c r="R65">
        <v>43.1</v>
      </c>
      <c r="S65">
        <v>35.43</v>
      </c>
      <c r="T65">
        <v>2813.23</v>
      </c>
      <c r="U65">
        <v>0.82</v>
      </c>
      <c r="V65">
        <v>0.88</v>
      </c>
      <c r="W65">
        <v>2.98</v>
      </c>
      <c r="X65">
        <v>0.18</v>
      </c>
      <c r="Y65">
        <v>1</v>
      </c>
      <c r="Z65">
        <v>10</v>
      </c>
    </row>
    <row r="66" spans="1:26" x14ac:dyDescent="0.3">
      <c r="A66">
        <v>64</v>
      </c>
      <c r="B66">
        <v>145</v>
      </c>
      <c r="C66" t="s">
        <v>26</v>
      </c>
      <c r="D66">
        <v>6.1215999999999999</v>
      </c>
      <c r="E66">
        <v>16.34</v>
      </c>
      <c r="F66">
        <v>12.9</v>
      </c>
      <c r="G66">
        <v>86.01</v>
      </c>
      <c r="H66">
        <v>0.95</v>
      </c>
      <c r="I66">
        <v>9</v>
      </c>
      <c r="J66">
        <v>319.08999999999997</v>
      </c>
      <c r="K66">
        <v>61.2</v>
      </c>
      <c r="L66">
        <v>17</v>
      </c>
      <c r="M66">
        <v>7</v>
      </c>
      <c r="N66">
        <v>95.89</v>
      </c>
      <c r="O66">
        <v>39588.58</v>
      </c>
      <c r="P66">
        <v>189.8</v>
      </c>
      <c r="Q66">
        <v>988.08</v>
      </c>
      <c r="R66">
        <v>42.42</v>
      </c>
      <c r="S66">
        <v>35.43</v>
      </c>
      <c r="T66">
        <v>2475</v>
      </c>
      <c r="U66">
        <v>0.84</v>
      </c>
      <c r="V66">
        <v>0.88</v>
      </c>
      <c r="W66">
        <v>2.98</v>
      </c>
      <c r="X66">
        <v>0.15</v>
      </c>
      <c r="Y66">
        <v>1</v>
      </c>
      <c r="Z66">
        <v>10</v>
      </c>
    </row>
    <row r="67" spans="1:26" x14ac:dyDescent="0.3">
      <c r="A67">
        <v>65</v>
      </c>
      <c r="B67">
        <v>145</v>
      </c>
      <c r="C67" t="s">
        <v>26</v>
      </c>
      <c r="D67">
        <v>6.1166999999999998</v>
      </c>
      <c r="E67">
        <v>16.350000000000001</v>
      </c>
      <c r="F67">
        <v>12.91</v>
      </c>
      <c r="G67">
        <v>86.1</v>
      </c>
      <c r="H67">
        <v>0.96</v>
      </c>
      <c r="I67">
        <v>9</v>
      </c>
      <c r="J67">
        <v>319.64999999999998</v>
      </c>
      <c r="K67">
        <v>61.2</v>
      </c>
      <c r="L67">
        <v>17.25</v>
      </c>
      <c r="M67">
        <v>7</v>
      </c>
      <c r="N67">
        <v>96.2</v>
      </c>
      <c r="O67">
        <v>39658.050000000003</v>
      </c>
      <c r="P67">
        <v>190.25</v>
      </c>
      <c r="Q67">
        <v>988.08</v>
      </c>
      <c r="R67">
        <v>42.79</v>
      </c>
      <c r="S67">
        <v>35.43</v>
      </c>
      <c r="T67">
        <v>2659.02</v>
      </c>
      <c r="U67">
        <v>0.83</v>
      </c>
      <c r="V67">
        <v>0.88</v>
      </c>
      <c r="W67">
        <v>2.98</v>
      </c>
      <c r="X67">
        <v>0.16</v>
      </c>
      <c r="Y67">
        <v>1</v>
      </c>
      <c r="Z67">
        <v>10</v>
      </c>
    </row>
    <row r="68" spans="1:26" x14ac:dyDescent="0.3">
      <c r="A68">
        <v>66</v>
      </c>
      <c r="B68">
        <v>145</v>
      </c>
      <c r="C68" t="s">
        <v>26</v>
      </c>
      <c r="D68">
        <v>6.1161000000000003</v>
      </c>
      <c r="E68">
        <v>16.350000000000001</v>
      </c>
      <c r="F68">
        <v>12.92</v>
      </c>
      <c r="G68">
        <v>86.11</v>
      </c>
      <c r="H68">
        <v>0.97</v>
      </c>
      <c r="I68">
        <v>9</v>
      </c>
      <c r="J68">
        <v>320.22000000000003</v>
      </c>
      <c r="K68">
        <v>61.2</v>
      </c>
      <c r="L68">
        <v>17.5</v>
      </c>
      <c r="M68">
        <v>7</v>
      </c>
      <c r="N68">
        <v>96.52</v>
      </c>
      <c r="O68">
        <v>39727.660000000003</v>
      </c>
      <c r="P68">
        <v>190.36</v>
      </c>
      <c r="Q68">
        <v>988.08</v>
      </c>
      <c r="R68">
        <v>42.95</v>
      </c>
      <c r="S68">
        <v>35.43</v>
      </c>
      <c r="T68">
        <v>2743.58</v>
      </c>
      <c r="U68">
        <v>0.82</v>
      </c>
      <c r="V68">
        <v>0.88</v>
      </c>
      <c r="W68">
        <v>2.98</v>
      </c>
      <c r="X68">
        <v>0.16</v>
      </c>
      <c r="Y68">
        <v>1</v>
      </c>
      <c r="Z68">
        <v>10</v>
      </c>
    </row>
    <row r="69" spans="1:26" x14ac:dyDescent="0.3">
      <c r="A69">
        <v>67</v>
      </c>
      <c r="B69">
        <v>145</v>
      </c>
      <c r="C69" t="s">
        <v>26</v>
      </c>
      <c r="D69">
        <v>6.1151</v>
      </c>
      <c r="E69">
        <v>16.350000000000001</v>
      </c>
      <c r="F69">
        <v>12.92</v>
      </c>
      <c r="G69">
        <v>86.13</v>
      </c>
      <c r="H69">
        <v>0.99</v>
      </c>
      <c r="I69">
        <v>9</v>
      </c>
      <c r="J69">
        <v>320.77999999999997</v>
      </c>
      <c r="K69">
        <v>61.2</v>
      </c>
      <c r="L69">
        <v>17.75</v>
      </c>
      <c r="M69">
        <v>7</v>
      </c>
      <c r="N69">
        <v>96.83</v>
      </c>
      <c r="O69">
        <v>39797.410000000003</v>
      </c>
      <c r="P69">
        <v>190.45</v>
      </c>
      <c r="Q69">
        <v>988.08</v>
      </c>
      <c r="R69">
        <v>42.87</v>
      </c>
      <c r="S69">
        <v>35.43</v>
      </c>
      <c r="T69">
        <v>2699.35</v>
      </c>
      <c r="U69">
        <v>0.83</v>
      </c>
      <c r="V69">
        <v>0.88</v>
      </c>
      <c r="W69">
        <v>2.98</v>
      </c>
      <c r="X69">
        <v>0.17</v>
      </c>
      <c r="Y69">
        <v>1</v>
      </c>
      <c r="Z69">
        <v>10</v>
      </c>
    </row>
    <row r="70" spans="1:26" x14ac:dyDescent="0.3">
      <c r="A70">
        <v>68</v>
      </c>
      <c r="B70">
        <v>145</v>
      </c>
      <c r="C70" t="s">
        <v>26</v>
      </c>
      <c r="D70">
        <v>6.1177999999999999</v>
      </c>
      <c r="E70">
        <v>16.350000000000001</v>
      </c>
      <c r="F70">
        <v>12.91</v>
      </c>
      <c r="G70">
        <v>86.08</v>
      </c>
      <c r="H70">
        <v>1</v>
      </c>
      <c r="I70">
        <v>9</v>
      </c>
      <c r="J70">
        <v>321.35000000000002</v>
      </c>
      <c r="K70">
        <v>61.2</v>
      </c>
      <c r="L70">
        <v>18</v>
      </c>
      <c r="M70">
        <v>7</v>
      </c>
      <c r="N70">
        <v>97.15</v>
      </c>
      <c r="O70">
        <v>39867.32</v>
      </c>
      <c r="P70">
        <v>189.79</v>
      </c>
      <c r="Q70">
        <v>988.09</v>
      </c>
      <c r="R70">
        <v>42.78</v>
      </c>
      <c r="S70">
        <v>35.43</v>
      </c>
      <c r="T70">
        <v>2657.15</v>
      </c>
      <c r="U70">
        <v>0.83</v>
      </c>
      <c r="V70">
        <v>0.88</v>
      </c>
      <c r="W70">
        <v>2.98</v>
      </c>
      <c r="X70">
        <v>0.16</v>
      </c>
      <c r="Y70">
        <v>1</v>
      </c>
      <c r="Z70">
        <v>10</v>
      </c>
    </row>
    <row r="71" spans="1:26" x14ac:dyDescent="0.3">
      <c r="A71">
        <v>69</v>
      </c>
      <c r="B71">
        <v>145</v>
      </c>
      <c r="C71" t="s">
        <v>26</v>
      </c>
      <c r="D71">
        <v>6.1188000000000002</v>
      </c>
      <c r="E71">
        <v>16.34</v>
      </c>
      <c r="F71">
        <v>12.91</v>
      </c>
      <c r="G71">
        <v>86.06</v>
      </c>
      <c r="H71">
        <v>1.01</v>
      </c>
      <c r="I71">
        <v>9</v>
      </c>
      <c r="J71">
        <v>321.92</v>
      </c>
      <c r="K71">
        <v>61.2</v>
      </c>
      <c r="L71">
        <v>18.25</v>
      </c>
      <c r="M71">
        <v>7</v>
      </c>
      <c r="N71">
        <v>97.47</v>
      </c>
      <c r="O71">
        <v>39937.360000000001</v>
      </c>
      <c r="P71">
        <v>188.86</v>
      </c>
      <c r="Q71">
        <v>988.13</v>
      </c>
      <c r="R71">
        <v>42.51</v>
      </c>
      <c r="S71">
        <v>35.43</v>
      </c>
      <c r="T71">
        <v>2519.7600000000002</v>
      </c>
      <c r="U71">
        <v>0.83</v>
      </c>
      <c r="V71">
        <v>0.88</v>
      </c>
      <c r="W71">
        <v>2.98</v>
      </c>
      <c r="X71">
        <v>0.16</v>
      </c>
      <c r="Y71">
        <v>1</v>
      </c>
      <c r="Z71">
        <v>10</v>
      </c>
    </row>
    <row r="72" spans="1:26" x14ac:dyDescent="0.3">
      <c r="A72">
        <v>70</v>
      </c>
      <c r="B72">
        <v>145</v>
      </c>
      <c r="C72" t="s">
        <v>26</v>
      </c>
      <c r="D72">
        <v>6.1188000000000002</v>
      </c>
      <c r="E72">
        <v>16.34</v>
      </c>
      <c r="F72">
        <v>12.91</v>
      </c>
      <c r="G72">
        <v>86.06</v>
      </c>
      <c r="H72">
        <v>1.02</v>
      </c>
      <c r="I72">
        <v>9</v>
      </c>
      <c r="J72">
        <v>322.49</v>
      </c>
      <c r="K72">
        <v>61.2</v>
      </c>
      <c r="L72">
        <v>18.5</v>
      </c>
      <c r="M72">
        <v>6</v>
      </c>
      <c r="N72">
        <v>97.79</v>
      </c>
      <c r="O72">
        <v>40007.56</v>
      </c>
      <c r="P72">
        <v>187.03</v>
      </c>
      <c r="Q72">
        <v>988.11</v>
      </c>
      <c r="R72">
        <v>42.65</v>
      </c>
      <c r="S72">
        <v>35.43</v>
      </c>
      <c r="T72">
        <v>2589.39</v>
      </c>
      <c r="U72">
        <v>0.83</v>
      </c>
      <c r="V72">
        <v>0.88</v>
      </c>
      <c r="W72">
        <v>2.98</v>
      </c>
      <c r="X72">
        <v>0.15</v>
      </c>
      <c r="Y72">
        <v>1</v>
      </c>
      <c r="Z72">
        <v>10</v>
      </c>
    </row>
    <row r="73" spans="1:26" x14ac:dyDescent="0.3">
      <c r="A73">
        <v>71</v>
      </c>
      <c r="B73">
        <v>145</v>
      </c>
      <c r="C73" t="s">
        <v>26</v>
      </c>
      <c r="D73">
        <v>6.1153000000000004</v>
      </c>
      <c r="E73">
        <v>16.350000000000001</v>
      </c>
      <c r="F73">
        <v>12.92</v>
      </c>
      <c r="G73">
        <v>86.12</v>
      </c>
      <c r="H73">
        <v>1.03</v>
      </c>
      <c r="I73">
        <v>9</v>
      </c>
      <c r="J73">
        <v>323.06</v>
      </c>
      <c r="K73">
        <v>61.2</v>
      </c>
      <c r="L73">
        <v>18.75</v>
      </c>
      <c r="M73">
        <v>4</v>
      </c>
      <c r="N73">
        <v>98.11</v>
      </c>
      <c r="O73">
        <v>40077.9</v>
      </c>
      <c r="P73">
        <v>186.64</v>
      </c>
      <c r="Q73">
        <v>988.08</v>
      </c>
      <c r="R73">
        <v>42.76</v>
      </c>
      <c r="S73">
        <v>35.43</v>
      </c>
      <c r="T73">
        <v>2644.8</v>
      </c>
      <c r="U73">
        <v>0.83</v>
      </c>
      <c r="V73">
        <v>0.88</v>
      </c>
      <c r="W73">
        <v>2.98</v>
      </c>
      <c r="X73">
        <v>0.17</v>
      </c>
      <c r="Y73">
        <v>1</v>
      </c>
      <c r="Z73">
        <v>10</v>
      </c>
    </row>
    <row r="74" spans="1:26" x14ac:dyDescent="0.3">
      <c r="A74">
        <v>72</v>
      </c>
      <c r="B74">
        <v>145</v>
      </c>
      <c r="C74" t="s">
        <v>26</v>
      </c>
      <c r="D74">
        <v>6.1144999999999996</v>
      </c>
      <c r="E74">
        <v>16.350000000000001</v>
      </c>
      <c r="F74">
        <v>12.92</v>
      </c>
      <c r="G74">
        <v>86.14</v>
      </c>
      <c r="H74">
        <v>1.05</v>
      </c>
      <c r="I74">
        <v>9</v>
      </c>
      <c r="J74">
        <v>323.63</v>
      </c>
      <c r="K74">
        <v>61.2</v>
      </c>
      <c r="L74">
        <v>19</v>
      </c>
      <c r="M74">
        <v>4</v>
      </c>
      <c r="N74">
        <v>98.43</v>
      </c>
      <c r="O74">
        <v>40148.519999999997</v>
      </c>
      <c r="P74">
        <v>186.18</v>
      </c>
      <c r="Q74">
        <v>988.11</v>
      </c>
      <c r="R74">
        <v>42.81</v>
      </c>
      <c r="S74">
        <v>35.43</v>
      </c>
      <c r="T74">
        <v>2669.87</v>
      </c>
      <c r="U74">
        <v>0.83</v>
      </c>
      <c r="V74">
        <v>0.88</v>
      </c>
      <c r="W74">
        <v>2.98</v>
      </c>
      <c r="X74">
        <v>0.17</v>
      </c>
      <c r="Y74">
        <v>1</v>
      </c>
      <c r="Z74">
        <v>10</v>
      </c>
    </row>
    <row r="75" spans="1:26" x14ac:dyDescent="0.3">
      <c r="A75">
        <v>73</v>
      </c>
      <c r="B75">
        <v>145</v>
      </c>
      <c r="C75" t="s">
        <v>26</v>
      </c>
      <c r="D75">
        <v>6.1425000000000001</v>
      </c>
      <c r="E75">
        <v>16.28</v>
      </c>
      <c r="F75">
        <v>12.9</v>
      </c>
      <c r="G75">
        <v>96.75</v>
      </c>
      <c r="H75">
        <v>1.06</v>
      </c>
      <c r="I75">
        <v>8</v>
      </c>
      <c r="J75">
        <v>324.2</v>
      </c>
      <c r="K75">
        <v>61.2</v>
      </c>
      <c r="L75">
        <v>19.25</v>
      </c>
      <c r="M75">
        <v>3</v>
      </c>
      <c r="N75">
        <v>98.75</v>
      </c>
      <c r="O75">
        <v>40219.17</v>
      </c>
      <c r="P75">
        <v>185.01</v>
      </c>
      <c r="Q75">
        <v>988.08</v>
      </c>
      <c r="R75">
        <v>42.12</v>
      </c>
      <c r="S75">
        <v>35.43</v>
      </c>
      <c r="T75">
        <v>2332.04</v>
      </c>
      <c r="U75">
        <v>0.84</v>
      </c>
      <c r="V75">
        <v>0.88</v>
      </c>
      <c r="W75">
        <v>2.98</v>
      </c>
      <c r="X75">
        <v>0.15</v>
      </c>
      <c r="Y75">
        <v>1</v>
      </c>
      <c r="Z75">
        <v>10</v>
      </c>
    </row>
    <row r="76" spans="1:26" x14ac:dyDescent="0.3">
      <c r="A76">
        <v>74</v>
      </c>
      <c r="B76">
        <v>145</v>
      </c>
      <c r="C76" t="s">
        <v>26</v>
      </c>
      <c r="D76">
        <v>6.1441999999999997</v>
      </c>
      <c r="E76">
        <v>16.28</v>
      </c>
      <c r="F76">
        <v>12.9</v>
      </c>
      <c r="G76">
        <v>96.71</v>
      </c>
      <c r="H76">
        <v>1.07</v>
      </c>
      <c r="I76">
        <v>8</v>
      </c>
      <c r="J76">
        <v>324.77999999999997</v>
      </c>
      <c r="K76">
        <v>61.2</v>
      </c>
      <c r="L76">
        <v>19.5</v>
      </c>
      <c r="M76">
        <v>2</v>
      </c>
      <c r="N76">
        <v>99.08</v>
      </c>
      <c r="O76">
        <v>40289.97</v>
      </c>
      <c r="P76">
        <v>185.23</v>
      </c>
      <c r="Q76">
        <v>988.13</v>
      </c>
      <c r="R76">
        <v>42.1</v>
      </c>
      <c r="S76">
        <v>35.43</v>
      </c>
      <c r="T76">
        <v>2320.4899999999998</v>
      </c>
      <c r="U76">
        <v>0.84</v>
      </c>
      <c r="V76">
        <v>0.88</v>
      </c>
      <c r="W76">
        <v>2.98</v>
      </c>
      <c r="X76">
        <v>0.14000000000000001</v>
      </c>
      <c r="Y76">
        <v>1</v>
      </c>
      <c r="Z76">
        <v>10</v>
      </c>
    </row>
    <row r="77" spans="1:26" x14ac:dyDescent="0.3">
      <c r="A77">
        <v>75</v>
      </c>
      <c r="B77">
        <v>145</v>
      </c>
      <c r="C77" t="s">
        <v>26</v>
      </c>
      <c r="D77">
        <v>6.1425000000000001</v>
      </c>
      <c r="E77">
        <v>16.28</v>
      </c>
      <c r="F77">
        <v>12.9</v>
      </c>
      <c r="G77">
        <v>96.75</v>
      </c>
      <c r="H77">
        <v>1.08</v>
      </c>
      <c r="I77">
        <v>8</v>
      </c>
      <c r="J77">
        <v>325.35000000000002</v>
      </c>
      <c r="K77">
        <v>61.2</v>
      </c>
      <c r="L77">
        <v>19.75</v>
      </c>
      <c r="M77">
        <v>1</v>
      </c>
      <c r="N77">
        <v>99.4</v>
      </c>
      <c r="O77">
        <v>40360.92</v>
      </c>
      <c r="P77">
        <v>185.36</v>
      </c>
      <c r="Q77">
        <v>988.14</v>
      </c>
      <c r="R77">
        <v>42.17</v>
      </c>
      <c r="S77">
        <v>35.43</v>
      </c>
      <c r="T77">
        <v>2356.2600000000002</v>
      </c>
      <c r="U77">
        <v>0.84</v>
      </c>
      <c r="V77">
        <v>0.88</v>
      </c>
      <c r="W77">
        <v>2.98</v>
      </c>
      <c r="X77">
        <v>0.15</v>
      </c>
      <c r="Y77">
        <v>1</v>
      </c>
      <c r="Z77">
        <v>10</v>
      </c>
    </row>
    <row r="78" spans="1:26" x14ac:dyDescent="0.3">
      <c r="A78">
        <v>76</v>
      </c>
      <c r="B78">
        <v>145</v>
      </c>
      <c r="C78" t="s">
        <v>26</v>
      </c>
      <c r="D78">
        <v>6.1429</v>
      </c>
      <c r="E78">
        <v>16.28</v>
      </c>
      <c r="F78">
        <v>12.9</v>
      </c>
      <c r="G78">
        <v>96.74</v>
      </c>
      <c r="H78">
        <v>1.0900000000000001</v>
      </c>
      <c r="I78">
        <v>8</v>
      </c>
      <c r="J78">
        <v>325.93</v>
      </c>
      <c r="K78">
        <v>61.2</v>
      </c>
      <c r="L78">
        <v>20</v>
      </c>
      <c r="M78">
        <v>1</v>
      </c>
      <c r="N78">
        <v>99.73</v>
      </c>
      <c r="O78">
        <v>40432.03</v>
      </c>
      <c r="P78">
        <v>185.66</v>
      </c>
      <c r="Q78">
        <v>988.08</v>
      </c>
      <c r="R78">
        <v>42.2</v>
      </c>
      <c r="S78">
        <v>35.43</v>
      </c>
      <c r="T78">
        <v>2371.5500000000002</v>
      </c>
      <c r="U78">
        <v>0.84</v>
      </c>
      <c r="V78">
        <v>0.88</v>
      </c>
      <c r="W78">
        <v>2.98</v>
      </c>
      <c r="X78">
        <v>0.15</v>
      </c>
      <c r="Y78">
        <v>1</v>
      </c>
      <c r="Z78">
        <v>10</v>
      </c>
    </row>
    <row r="79" spans="1:26" x14ac:dyDescent="0.3">
      <c r="A79">
        <v>77</v>
      </c>
      <c r="B79">
        <v>145</v>
      </c>
      <c r="C79" t="s">
        <v>26</v>
      </c>
      <c r="D79">
        <v>6.1436999999999999</v>
      </c>
      <c r="E79">
        <v>16.28</v>
      </c>
      <c r="F79">
        <v>12.9</v>
      </c>
      <c r="G79">
        <v>96.72</v>
      </c>
      <c r="H79">
        <v>1.1100000000000001</v>
      </c>
      <c r="I79">
        <v>8</v>
      </c>
      <c r="J79">
        <v>326.51</v>
      </c>
      <c r="K79">
        <v>61.2</v>
      </c>
      <c r="L79">
        <v>20.25</v>
      </c>
      <c r="M79">
        <v>0</v>
      </c>
      <c r="N79">
        <v>100.06</v>
      </c>
      <c r="O79">
        <v>40503.29</v>
      </c>
      <c r="P79">
        <v>185.95</v>
      </c>
      <c r="Q79">
        <v>988.08</v>
      </c>
      <c r="R79">
        <v>42.08</v>
      </c>
      <c r="S79">
        <v>35.43</v>
      </c>
      <c r="T79">
        <v>2313.0100000000002</v>
      </c>
      <c r="U79">
        <v>0.84</v>
      </c>
      <c r="V79">
        <v>0.88</v>
      </c>
      <c r="W79">
        <v>2.98</v>
      </c>
      <c r="X79">
        <v>0.14000000000000001</v>
      </c>
      <c r="Y79">
        <v>1</v>
      </c>
      <c r="Z79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25"/>
  <dimension ref="A1:Z2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65</v>
      </c>
      <c r="C2" t="s">
        <v>26</v>
      </c>
      <c r="D2">
        <v>4.8872999999999998</v>
      </c>
      <c r="E2">
        <v>20.46</v>
      </c>
      <c r="F2">
        <v>15.1</v>
      </c>
      <c r="G2">
        <v>7.74</v>
      </c>
      <c r="H2">
        <v>0.13</v>
      </c>
      <c r="I2">
        <v>117</v>
      </c>
      <c r="J2">
        <v>133.21</v>
      </c>
      <c r="K2">
        <v>46.47</v>
      </c>
      <c r="L2">
        <v>1</v>
      </c>
      <c r="M2">
        <v>115</v>
      </c>
      <c r="N2">
        <v>20.75</v>
      </c>
      <c r="O2">
        <v>16663.419999999998</v>
      </c>
      <c r="P2">
        <v>161.69999999999999</v>
      </c>
      <c r="Q2">
        <v>988.76</v>
      </c>
      <c r="R2">
        <v>110.65</v>
      </c>
      <c r="S2">
        <v>35.43</v>
      </c>
      <c r="T2">
        <v>36049.19</v>
      </c>
      <c r="U2">
        <v>0.32</v>
      </c>
      <c r="V2">
        <v>0.76</v>
      </c>
      <c r="W2">
        <v>3.15</v>
      </c>
      <c r="X2">
        <v>2.34</v>
      </c>
      <c r="Y2">
        <v>1</v>
      </c>
      <c r="Z2">
        <v>10</v>
      </c>
    </row>
    <row r="3" spans="1:26" x14ac:dyDescent="0.3">
      <c r="A3">
        <v>1</v>
      </c>
      <c r="B3">
        <v>65</v>
      </c>
      <c r="C3" t="s">
        <v>26</v>
      </c>
      <c r="D3">
        <v>5.2039999999999997</v>
      </c>
      <c r="E3">
        <v>19.22</v>
      </c>
      <c r="F3">
        <v>14.59</v>
      </c>
      <c r="G3">
        <v>9.7200000000000006</v>
      </c>
      <c r="H3">
        <v>0.17</v>
      </c>
      <c r="I3">
        <v>90</v>
      </c>
      <c r="J3">
        <v>133.55000000000001</v>
      </c>
      <c r="K3">
        <v>46.47</v>
      </c>
      <c r="L3">
        <v>1.25</v>
      </c>
      <c r="M3">
        <v>88</v>
      </c>
      <c r="N3">
        <v>20.83</v>
      </c>
      <c r="O3">
        <v>16704.7</v>
      </c>
      <c r="P3">
        <v>154.77000000000001</v>
      </c>
      <c r="Q3">
        <v>988.37</v>
      </c>
      <c r="R3">
        <v>94.07</v>
      </c>
      <c r="S3">
        <v>35.43</v>
      </c>
      <c r="T3">
        <v>27895.24</v>
      </c>
      <c r="U3">
        <v>0.38</v>
      </c>
      <c r="V3">
        <v>0.78</v>
      </c>
      <c r="W3">
        <v>3.13</v>
      </c>
      <c r="X3">
        <v>1.83</v>
      </c>
      <c r="Y3">
        <v>1</v>
      </c>
      <c r="Z3">
        <v>10</v>
      </c>
    </row>
    <row r="4" spans="1:26" x14ac:dyDescent="0.3">
      <c r="A4">
        <v>2</v>
      </c>
      <c r="B4">
        <v>65</v>
      </c>
      <c r="C4" t="s">
        <v>26</v>
      </c>
      <c r="D4">
        <v>5.4423000000000004</v>
      </c>
      <c r="E4">
        <v>18.37</v>
      </c>
      <c r="F4">
        <v>14.21</v>
      </c>
      <c r="G4">
        <v>11.68</v>
      </c>
      <c r="H4">
        <v>0.2</v>
      </c>
      <c r="I4">
        <v>73</v>
      </c>
      <c r="J4">
        <v>133.88</v>
      </c>
      <c r="K4">
        <v>46.47</v>
      </c>
      <c r="L4">
        <v>1.5</v>
      </c>
      <c r="M4">
        <v>71</v>
      </c>
      <c r="N4">
        <v>20.91</v>
      </c>
      <c r="O4">
        <v>16746.009999999998</v>
      </c>
      <c r="P4">
        <v>149.16999999999999</v>
      </c>
      <c r="Q4">
        <v>988.17</v>
      </c>
      <c r="R4">
        <v>83.1</v>
      </c>
      <c r="S4">
        <v>35.43</v>
      </c>
      <c r="T4">
        <v>22493.919999999998</v>
      </c>
      <c r="U4">
        <v>0.43</v>
      </c>
      <c r="V4">
        <v>0.8</v>
      </c>
      <c r="W4">
        <v>3.08</v>
      </c>
      <c r="X4">
        <v>1.45</v>
      </c>
      <c r="Y4">
        <v>1</v>
      </c>
      <c r="Z4">
        <v>10</v>
      </c>
    </row>
    <row r="5" spans="1:26" x14ac:dyDescent="0.3">
      <c r="A5">
        <v>3</v>
      </c>
      <c r="B5">
        <v>65</v>
      </c>
      <c r="C5" t="s">
        <v>26</v>
      </c>
      <c r="D5">
        <v>5.6161000000000003</v>
      </c>
      <c r="E5">
        <v>17.809999999999999</v>
      </c>
      <c r="F5">
        <v>13.96</v>
      </c>
      <c r="G5">
        <v>13.74</v>
      </c>
      <c r="H5">
        <v>0.23</v>
      </c>
      <c r="I5">
        <v>61</v>
      </c>
      <c r="J5">
        <v>134.22</v>
      </c>
      <c r="K5">
        <v>46.47</v>
      </c>
      <c r="L5">
        <v>1.75</v>
      </c>
      <c r="M5">
        <v>59</v>
      </c>
      <c r="N5">
        <v>21</v>
      </c>
      <c r="O5">
        <v>16787.349999999999</v>
      </c>
      <c r="P5">
        <v>145.06</v>
      </c>
      <c r="Q5">
        <v>988.13</v>
      </c>
      <c r="R5">
        <v>75.37</v>
      </c>
      <c r="S5">
        <v>35.43</v>
      </c>
      <c r="T5">
        <v>18690.32</v>
      </c>
      <c r="U5">
        <v>0.47</v>
      </c>
      <c r="V5">
        <v>0.82</v>
      </c>
      <c r="W5">
        <v>3.07</v>
      </c>
      <c r="X5">
        <v>1.21</v>
      </c>
      <c r="Y5">
        <v>1</v>
      </c>
      <c r="Z5">
        <v>10</v>
      </c>
    </row>
    <row r="6" spans="1:26" x14ac:dyDescent="0.3">
      <c r="A6">
        <v>4</v>
      </c>
      <c r="B6">
        <v>65</v>
      </c>
      <c r="C6" t="s">
        <v>26</v>
      </c>
      <c r="D6">
        <v>5.7592999999999996</v>
      </c>
      <c r="E6">
        <v>17.36</v>
      </c>
      <c r="F6">
        <v>13.77</v>
      </c>
      <c r="G6">
        <v>15.89</v>
      </c>
      <c r="H6">
        <v>0.26</v>
      </c>
      <c r="I6">
        <v>52</v>
      </c>
      <c r="J6">
        <v>134.55000000000001</v>
      </c>
      <c r="K6">
        <v>46.47</v>
      </c>
      <c r="L6">
        <v>2</v>
      </c>
      <c r="M6">
        <v>50</v>
      </c>
      <c r="N6">
        <v>21.09</v>
      </c>
      <c r="O6">
        <v>16828.84</v>
      </c>
      <c r="P6">
        <v>141.47999999999999</v>
      </c>
      <c r="Q6">
        <v>988.28</v>
      </c>
      <c r="R6">
        <v>69.099999999999994</v>
      </c>
      <c r="S6">
        <v>35.43</v>
      </c>
      <c r="T6">
        <v>15600.33</v>
      </c>
      <c r="U6">
        <v>0.51</v>
      </c>
      <c r="V6">
        <v>0.83</v>
      </c>
      <c r="W6">
        <v>3.05</v>
      </c>
      <c r="X6">
        <v>1.01</v>
      </c>
      <c r="Y6">
        <v>1</v>
      </c>
      <c r="Z6">
        <v>10</v>
      </c>
    </row>
    <row r="7" spans="1:26" x14ac:dyDescent="0.3">
      <c r="A7">
        <v>5</v>
      </c>
      <c r="B7">
        <v>65</v>
      </c>
      <c r="C7" t="s">
        <v>26</v>
      </c>
      <c r="D7">
        <v>5.8487</v>
      </c>
      <c r="E7">
        <v>17.100000000000001</v>
      </c>
      <c r="F7">
        <v>13.67</v>
      </c>
      <c r="G7">
        <v>17.82</v>
      </c>
      <c r="H7">
        <v>0.28999999999999998</v>
      </c>
      <c r="I7">
        <v>46</v>
      </c>
      <c r="J7">
        <v>134.88999999999999</v>
      </c>
      <c r="K7">
        <v>46.47</v>
      </c>
      <c r="L7">
        <v>2.25</v>
      </c>
      <c r="M7">
        <v>44</v>
      </c>
      <c r="N7">
        <v>21.17</v>
      </c>
      <c r="O7">
        <v>16870.25</v>
      </c>
      <c r="P7">
        <v>138.84</v>
      </c>
      <c r="Q7">
        <v>988.16</v>
      </c>
      <c r="R7">
        <v>66.06</v>
      </c>
      <c r="S7">
        <v>35.43</v>
      </c>
      <c r="T7">
        <v>14111.59</v>
      </c>
      <c r="U7">
        <v>0.54</v>
      </c>
      <c r="V7">
        <v>0.83</v>
      </c>
      <c r="W7">
        <v>3.04</v>
      </c>
      <c r="X7">
        <v>0.91</v>
      </c>
      <c r="Y7">
        <v>1</v>
      </c>
      <c r="Z7">
        <v>10</v>
      </c>
    </row>
    <row r="8" spans="1:26" x14ac:dyDescent="0.3">
      <c r="A8">
        <v>6</v>
      </c>
      <c r="B8">
        <v>65</v>
      </c>
      <c r="C8" t="s">
        <v>26</v>
      </c>
      <c r="D8">
        <v>5.952</v>
      </c>
      <c r="E8">
        <v>16.8</v>
      </c>
      <c r="F8">
        <v>13.53</v>
      </c>
      <c r="G8">
        <v>20.3</v>
      </c>
      <c r="H8">
        <v>0.33</v>
      </c>
      <c r="I8">
        <v>40</v>
      </c>
      <c r="J8">
        <v>135.22</v>
      </c>
      <c r="K8">
        <v>46.47</v>
      </c>
      <c r="L8">
        <v>2.5</v>
      </c>
      <c r="M8">
        <v>38</v>
      </c>
      <c r="N8">
        <v>21.26</v>
      </c>
      <c r="O8">
        <v>16911.68</v>
      </c>
      <c r="P8">
        <v>135.80000000000001</v>
      </c>
      <c r="Q8">
        <v>988.31</v>
      </c>
      <c r="R8">
        <v>61.66</v>
      </c>
      <c r="S8">
        <v>35.43</v>
      </c>
      <c r="T8">
        <v>11940.47</v>
      </c>
      <c r="U8">
        <v>0.56999999999999995</v>
      </c>
      <c r="V8">
        <v>0.84</v>
      </c>
      <c r="W8">
        <v>3.04</v>
      </c>
      <c r="X8">
        <v>0.78</v>
      </c>
      <c r="Y8">
        <v>1</v>
      </c>
      <c r="Z8">
        <v>10</v>
      </c>
    </row>
    <row r="9" spans="1:26" x14ac:dyDescent="0.3">
      <c r="A9">
        <v>7</v>
      </c>
      <c r="B9">
        <v>65</v>
      </c>
      <c r="C9" t="s">
        <v>26</v>
      </c>
      <c r="D9">
        <v>6.0185000000000004</v>
      </c>
      <c r="E9">
        <v>16.62</v>
      </c>
      <c r="F9">
        <v>13.46</v>
      </c>
      <c r="G9">
        <v>22.43</v>
      </c>
      <c r="H9">
        <v>0.36</v>
      </c>
      <c r="I9">
        <v>36</v>
      </c>
      <c r="J9">
        <v>135.56</v>
      </c>
      <c r="K9">
        <v>46.47</v>
      </c>
      <c r="L9">
        <v>2.75</v>
      </c>
      <c r="M9">
        <v>34</v>
      </c>
      <c r="N9">
        <v>21.34</v>
      </c>
      <c r="O9">
        <v>16953.14</v>
      </c>
      <c r="P9">
        <v>133.47</v>
      </c>
      <c r="Q9">
        <v>988.11</v>
      </c>
      <c r="R9">
        <v>59.2</v>
      </c>
      <c r="S9">
        <v>35.43</v>
      </c>
      <c r="T9">
        <v>10731.37</v>
      </c>
      <c r="U9">
        <v>0.6</v>
      </c>
      <c r="V9">
        <v>0.85</v>
      </c>
      <c r="W9">
        <v>3.03</v>
      </c>
      <c r="X9">
        <v>0.7</v>
      </c>
      <c r="Y9">
        <v>1</v>
      </c>
      <c r="Z9">
        <v>10</v>
      </c>
    </row>
    <row r="10" spans="1:26" x14ac:dyDescent="0.3">
      <c r="A10">
        <v>8</v>
      </c>
      <c r="B10">
        <v>65</v>
      </c>
      <c r="C10" t="s">
        <v>26</v>
      </c>
      <c r="D10">
        <v>6.0726000000000004</v>
      </c>
      <c r="E10">
        <v>16.47</v>
      </c>
      <c r="F10">
        <v>13.39</v>
      </c>
      <c r="G10">
        <v>24.34</v>
      </c>
      <c r="H10">
        <v>0.39</v>
      </c>
      <c r="I10">
        <v>33</v>
      </c>
      <c r="J10">
        <v>135.9</v>
      </c>
      <c r="K10">
        <v>46.47</v>
      </c>
      <c r="L10">
        <v>3</v>
      </c>
      <c r="M10">
        <v>31</v>
      </c>
      <c r="N10">
        <v>21.43</v>
      </c>
      <c r="O10">
        <v>16994.64</v>
      </c>
      <c r="P10">
        <v>131.05000000000001</v>
      </c>
      <c r="Q10">
        <v>988.19</v>
      </c>
      <c r="R10">
        <v>57.54</v>
      </c>
      <c r="S10">
        <v>35.43</v>
      </c>
      <c r="T10">
        <v>9918.49</v>
      </c>
      <c r="U10">
        <v>0.62</v>
      </c>
      <c r="V10">
        <v>0.85</v>
      </c>
      <c r="W10">
        <v>3.02</v>
      </c>
      <c r="X10">
        <v>0.63</v>
      </c>
      <c r="Y10">
        <v>1</v>
      </c>
      <c r="Z10">
        <v>10</v>
      </c>
    </row>
    <row r="11" spans="1:26" x14ac:dyDescent="0.3">
      <c r="A11">
        <v>9</v>
      </c>
      <c r="B11">
        <v>65</v>
      </c>
      <c r="C11" t="s">
        <v>26</v>
      </c>
      <c r="D11">
        <v>6.1272000000000002</v>
      </c>
      <c r="E11">
        <v>16.32</v>
      </c>
      <c r="F11">
        <v>13.32</v>
      </c>
      <c r="G11">
        <v>26.65</v>
      </c>
      <c r="H11">
        <v>0.42</v>
      </c>
      <c r="I11">
        <v>30</v>
      </c>
      <c r="J11">
        <v>136.22999999999999</v>
      </c>
      <c r="K11">
        <v>46.47</v>
      </c>
      <c r="L11">
        <v>3.25</v>
      </c>
      <c r="M11">
        <v>28</v>
      </c>
      <c r="N11">
        <v>21.52</v>
      </c>
      <c r="O11">
        <v>17036.16</v>
      </c>
      <c r="P11">
        <v>128.97999999999999</v>
      </c>
      <c r="Q11">
        <v>988.15</v>
      </c>
      <c r="R11">
        <v>55.47</v>
      </c>
      <c r="S11">
        <v>35.43</v>
      </c>
      <c r="T11">
        <v>8896.2900000000009</v>
      </c>
      <c r="U11">
        <v>0.64</v>
      </c>
      <c r="V11">
        <v>0.86</v>
      </c>
      <c r="W11">
        <v>3.01</v>
      </c>
      <c r="X11">
        <v>0.56999999999999995</v>
      </c>
      <c r="Y11">
        <v>1</v>
      </c>
      <c r="Z11">
        <v>10</v>
      </c>
    </row>
    <row r="12" spans="1:26" x14ac:dyDescent="0.3">
      <c r="A12">
        <v>10</v>
      </c>
      <c r="B12">
        <v>65</v>
      </c>
      <c r="C12" t="s">
        <v>26</v>
      </c>
      <c r="D12">
        <v>6.1794000000000002</v>
      </c>
      <c r="E12">
        <v>16.18</v>
      </c>
      <c r="F12">
        <v>13.27</v>
      </c>
      <c r="G12">
        <v>29.48</v>
      </c>
      <c r="H12">
        <v>0.45</v>
      </c>
      <c r="I12">
        <v>27</v>
      </c>
      <c r="J12">
        <v>136.57</v>
      </c>
      <c r="K12">
        <v>46.47</v>
      </c>
      <c r="L12">
        <v>3.5</v>
      </c>
      <c r="M12">
        <v>25</v>
      </c>
      <c r="N12">
        <v>21.6</v>
      </c>
      <c r="O12">
        <v>17077.72</v>
      </c>
      <c r="P12">
        <v>126.29</v>
      </c>
      <c r="Q12">
        <v>988.26</v>
      </c>
      <c r="R12">
        <v>53.69</v>
      </c>
      <c r="S12">
        <v>35.43</v>
      </c>
      <c r="T12">
        <v>8020.28</v>
      </c>
      <c r="U12">
        <v>0.66</v>
      </c>
      <c r="V12">
        <v>0.86</v>
      </c>
      <c r="W12">
        <v>3.01</v>
      </c>
      <c r="X12">
        <v>0.51</v>
      </c>
      <c r="Y12">
        <v>1</v>
      </c>
      <c r="Z12">
        <v>10</v>
      </c>
    </row>
    <row r="13" spans="1:26" x14ac:dyDescent="0.3">
      <c r="A13">
        <v>11</v>
      </c>
      <c r="B13">
        <v>65</v>
      </c>
      <c r="C13" t="s">
        <v>26</v>
      </c>
      <c r="D13">
        <v>6.2084999999999999</v>
      </c>
      <c r="E13">
        <v>16.11</v>
      </c>
      <c r="F13">
        <v>13.25</v>
      </c>
      <c r="G13">
        <v>31.79</v>
      </c>
      <c r="H13">
        <v>0.48</v>
      </c>
      <c r="I13">
        <v>25</v>
      </c>
      <c r="J13">
        <v>136.91</v>
      </c>
      <c r="K13">
        <v>46.47</v>
      </c>
      <c r="L13">
        <v>3.75</v>
      </c>
      <c r="M13">
        <v>23</v>
      </c>
      <c r="N13">
        <v>21.69</v>
      </c>
      <c r="O13">
        <v>17119.3</v>
      </c>
      <c r="P13">
        <v>124.44</v>
      </c>
      <c r="Q13">
        <v>988.2</v>
      </c>
      <c r="R13">
        <v>52.97</v>
      </c>
      <c r="S13">
        <v>35.43</v>
      </c>
      <c r="T13">
        <v>7673.14</v>
      </c>
      <c r="U13">
        <v>0.67</v>
      </c>
      <c r="V13">
        <v>0.86</v>
      </c>
      <c r="W13">
        <v>3.01</v>
      </c>
      <c r="X13">
        <v>0.49</v>
      </c>
      <c r="Y13">
        <v>1</v>
      </c>
      <c r="Z13">
        <v>10</v>
      </c>
    </row>
    <row r="14" spans="1:26" x14ac:dyDescent="0.3">
      <c r="A14">
        <v>12</v>
      </c>
      <c r="B14">
        <v>65</v>
      </c>
      <c r="C14" t="s">
        <v>26</v>
      </c>
      <c r="D14">
        <v>6.2504999999999997</v>
      </c>
      <c r="E14">
        <v>16</v>
      </c>
      <c r="F14">
        <v>13.19</v>
      </c>
      <c r="G14">
        <v>34.409999999999997</v>
      </c>
      <c r="H14">
        <v>0.52</v>
      </c>
      <c r="I14">
        <v>23</v>
      </c>
      <c r="J14">
        <v>137.25</v>
      </c>
      <c r="K14">
        <v>46.47</v>
      </c>
      <c r="L14">
        <v>4</v>
      </c>
      <c r="M14">
        <v>21</v>
      </c>
      <c r="N14">
        <v>21.78</v>
      </c>
      <c r="O14">
        <v>17160.919999999998</v>
      </c>
      <c r="P14">
        <v>121.97</v>
      </c>
      <c r="Q14">
        <v>988.1</v>
      </c>
      <c r="R14">
        <v>51.68</v>
      </c>
      <c r="S14">
        <v>35.43</v>
      </c>
      <c r="T14">
        <v>7038.45</v>
      </c>
      <c r="U14">
        <v>0.69</v>
      </c>
      <c r="V14">
        <v>0.86</v>
      </c>
      <c r="W14">
        <v>2.99</v>
      </c>
      <c r="X14">
        <v>0.44</v>
      </c>
      <c r="Y14">
        <v>1</v>
      </c>
      <c r="Z14">
        <v>10</v>
      </c>
    </row>
    <row r="15" spans="1:26" x14ac:dyDescent="0.3">
      <c r="A15">
        <v>13</v>
      </c>
      <c r="B15">
        <v>65</v>
      </c>
      <c r="C15" t="s">
        <v>26</v>
      </c>
      <c r="D15">
        <v>6.2717999999999998</v>
      </c>
      <c r="E15">
        <v>15.94</v>
      </c>
      <c r="F15">
        <v>13.17</v>
      </c>
      <c r="G15">
        <v>35.909999999999997</v>
      </c>
      <c r="H15">
        <v>0.55000000000000004</v>
      </c>
      <c r="I15">
        <v>22</v>
      </c>
      <c r="J15">
        <v>137.58000000000001</v>
      </c>
      <c r="K15">
        <v>46.47</v>
      </c>
      <c r="L15">
        <v>4.25</v>
      </c>
      <c r="M15">
        <v>20</v>
      </c>
      <c r="N15">
        <v>21.87</v>
      </c>
      <c r="O15">
        <v>17202.57</v>
      </c>
      <c r="P15">
        <v>119.93</v>
      </c>
      <c r="Q15">
        <v>988.08</v>
      </c>
      <c r="R15">
        <v>50.68</v>
      </c>
      <c r="S15">
        <v>35.43</v>
      </c>
      <c r="T15">
        <v>6542.25</v>
      </c>
      <c r="U15">
        <v>0.7</v>
      </c>
      <c r="V15">
        <v>0.87</v>
      </c>
      <c r="W15">
        <v>3</v>
      </c>
      <c r="X15">
        <v>0.41</v>
      </c>
      <c r="Y15">
        <v>1</v>
      </c>
      <c r="Z15">
        <v>10</v>
      </c>
    </row>
    <row r="16" spans="1:26" x14ac:dyDescent="0.3">
      <c r="A16">
        <v>14</v>
      </c>
      <c r="B16">
        <v>65</v>
      </c>
      <c r="C16" t="s">
        <v>26</v>
      </c>
      <c r="D16">
        <v>6.3094999999999999</v>
      </c>
      <c r="E16">
        <v>15.85</v>
      </c>
      <c r="F16">
        <v>13.12</v>
      </c>
      <c r="G16">
        <v>39.369999999999997</v>
      </c>
      <c r="H16">
        <v>0.57999999999999996</v>
      </c>
      <c r="I16">
        <v>20</v>
      </c>
      <c r="J16">
        <v>137.91999999999999</v>
      </c>
      <c r="K16">
        <v>46.47</v>
      </c>
      <c r="L16">
        <v>4.5</v>
      </c>
      <c r="M16">
        <v>18</v>
      </c>
      <c r="N16">
        <v>21.95</v>
      </c>
      <c r="O16">
        <v>17244.240000000002</v>
      </c>
      <c r="P16">
        <v>118.01</v>
      </c>
      <c r="Q16">
        <v>988.17</v>
      </c>
      <c r="R16">
        <v>49.16</v>
      </c>
      <c r="S16">
        <v>35.43</v>
      </c>
      <c r="T16">
        <v>5790.55</v>
      </c>
      <c r="U16">
        <v>0.72</v>
      </c>
      <c r="V16">
        <v>0.87</v>
      </c>
      <c r="W16">
        <v>3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65</v>
      </c>
      <c r="C17" t="s">
        <v>26</v>
      </c>
      <c r="D17">
        <v>6.3269000000000002</v>
      </c>
      <c r="E17">
        <v>15.81</v>
      </c>
      <c r="F17">
        <v>13.11</v>
      </c>
      <c r="G17">
        <v>41.39</v>
      </c>
      <c r="H17">
        <v>0.61</v>
      </c>
      <c r="I17">
        <v>19</v>
      </c>
      <c r="J17">
        <v>138.26</v>
      </c>
      <c r="K17">
        <v>46.47</v>
      </c>
      <c r="L17">
        <v>4.75</v>
      </c>
      <c r="M17">
        <v>16</v>
      </c>
      <c r="N17">
        <v>22.04</v>
      </c>
      <c r="O17">
        <v>17285.95</v>
      </c>
      <c r="P17">
        <v>115.07</v>
      </c>
      <c r="Q17">
        <v>988.17</v>
      </c>
      <c r="R17">
        <v>48.75</v>
      </c>
      <c r="S17">
        <v>35.43</v>
      </c>
      <c r="T17">
        <v>5593.3</v>
      </c>
      <c r="U17">
        <v>0.73</v>
      </c>
      <c r="V17">
        <v>0.87</v>
      </c>
      <c r="W17">
        <v>2.99</v>
      </c>
      <c r="X17">
        <v>0.35</v>
      </c>
      <c r="Y17">
        <v>1</v>
      </c>
      <c r="Z17">
        <v>10</v>
      </c>
    </row>
    <row r="18" spans="1:26" x14ac:dyDescent="0.3">
      <c r="A18">
        <v>16</v>
      </c>
      <c r="B18">
        <v>65</v>
      </c>
      <c r="C18" t="s">
        <v>26</v>
      </c>
      <c r="D18">
        <v>6.3470000000000004</v>
      </c>
      <c r="E18">
        <v>15.76</v>
      </c>
      <c r="F18">
        <v>13.09</v>
      </c>
      <c r="G18">
        <v>43.62</v>
      </c>
      <c r="H18">
        <v>0.64</v>
      </c>
      <c r="I18">
        <v>18</v>
      </c>
      <c r="J18">
        <v>138.6</v>
      </c>
      <c r="K18">
        <v>46.47</v>
      </c>
      <c r="L18">
        <v>5</v>
      </c>
      <c r="M18">
        <v>12</v>
      </c>
      <c r="N18">
        <v>22.13</v>
      </c>
      <c r="O18">
        <v>17327.689999999999</v>
      </c>
      <c r="P18">
        <v>112.87</v>
      </c>
      <c r="Q18">
        <v>988.08</v>
      </c>
      <c r="R18">
        <v>47.8</v>
      </c>
      <c r="S18">
        <v>35.43</v>
      </c>
      <c r="T18">
        <v>5121.25</v>
      </c>
      <c r="U18">
        <v>0.74</v>
      </c>
      <c r="V18">
        <v>0.87</v>
      </c>
      <c r="W18">
        <v>3</v>
      </c>
      <c r="X18">
        <v>0.33</v>
      </c>
      <c r="Y18">
        <v>1</v>
      </c>
      <c r="Z18">
        <v>10</v>
      </c>
    </row>
    <row r="19" spans="1:26" x14ac:dyDescent="0.3">
      <c r="A19">
        <v>17</v>
      </c>
      <c r="B19">
        <v>65</v>
      </c>
      <c r="C19" t="s">
        <v>26</v>
      </c>
      <c r="D19">
        <v>6.3586</v>
      </c>
      <c r="E19">
        <v>15.73</v>
      </c>
      <c r="F19">
        <v>13.08</v>
      </c>
      <c r="G19">
        <v>46.18</v>
      </c>
      <c r="H19">
        <v>0.67</v>
      </c>
      <c r="I19">
        <v>17</v>
      </c>
      <c r="J19">
        <v>138.94</v>
      </c>
      <c r="K19">
        <v>46.47</v>
      </c>
      <c r="L19">
        <v>5.25</v>
      </c>
      <c r="M19">
        <v>5</v>
      </c>
      <c r="N19">
        <v>22.22</v>
      </c>
      <c r="O19">
        <v>17369.47</v>
      </c>
      <c r="P19">
        <v>111.77</v>
      </c>
      <c r="Q19">
        <v>988.17</v>
      </c>
      <c r="R19">
        <v>47.46</v>
      </c>
      <c r="S19">
        <v>35.43</v>
      </c>
      <c r="T19">
        <v>4953.93</v>
      </c>
      <c r="U19">
        <v>0.75</v>
      </c>
      <c r="V19">
        <v>0.87</v>
      </c>
      <c r="W19">
        <v>3.01</v>
      </c>
      <c r="X19">
        <v>0.33</v>
      </c>
      <c r="Y19">
        <v>1</v>
      </c>
      <c r="Z19">
        <v>10</v>
      </c>
    </row>
    <row r="20" spans="1:26" x14ac:dyDescent="0.3">
      <c r="A20">
        <v>18</v>
      </c>
      <c r="B20">
        <v>65</v>
      </c>
      <c r="C20" t="s">
        <v>26</v>
      </c>
      <c r="D20">
        <v>6.3509000000000002</v>
      </c>
      <c r="E20">
        <v>15.75</v>
      </c>
      <c r="F20">
        <v>13.1</v>
      </c>
      <c r="G20">
        <v>46.25</v>
      </c>
      <c r="H20">
        <v>0.7</v>
      </c>
      <c r="I20">
        <v>17</v>
      </c>
      <c r="J20">
        <v>139.28</v>
      </c>
      <c r="K20">
        <v>46.47</v>
      </c>
      <c r="L20">
        <v>5.5</v>
      </c>
      <c r="M20">
        <v>2</v>
      </c>
      <c r="N20">
        <v>22.31</v>
      </c>
      <c r="O20">
        <v>17411.27</v>
      </c>
      <c r="P20">
        <v>111.81</v>
      </c>
      <c r="Q20">
        <v>988.23</v>
      </c>
      <c r="R20">
        <v>47.9</v>
      </c>
      <c r="S20">
        <v>35.43</v>
      </c>
      <c r="T20">
        <v>5174.8599999999997</v>
      </c>
      <c r="U20">
        <v>0.74</v>
      </c>
      <c r="V20">
        <v>0.87</v>
      </c>
      <c r="W20">
        <v>3.01</v>
      </c>
      <c r="X20">
        <v>0.35</v>
      </c>
      <c r="Y20">
        <v>1</v>
      </c>
      <c r="Z20">
        <v>10</v>
      </c>
    </row>
    <row r="21" spans="1:26" x14ac:dyDescent="0.3">
      <c r="A21">
        <v>19</v>
      </c>
      <c r="B21">
        <v>65</v>
      </c>
      <c r="C21" t="s">
        <v>26</v>
      </c>
      <c r="D21">
        <v>6.3540000000000001</v>
      </c>
      <c r="E21">
        <v>15.74</v>
      </c>
      <c r="F21">
        <v>13.1</v>
      </c>
      <c r="G21">
        <v>46.22</v>
      </c>
      <c r="H21">
        <v>0.73</v>
      </c>
      <c r="I21">
        <v>17</v>
      </c>
      <c r="J21">
        <v>139.61000000000001</v>
      </c>
      <c r="K21">
        <v>46.47</v>
      </c>
      <c r="L21">
        <v>5.75</v>
      </c>
      <c r="M21">
        <v>1</v>
      </c>
      <c r="N21">
        <v>22.4</v>
      </c>
      <c r="O21">
        <v>17453.099999999999</v>
      </c>
      <c r="P21">
        <v>111.87</v>
      </c>
      <c r="Q21">
        <v>988.32</v>
      </c>
      <c r="R21">
        <v>47.77</v>
      </c>
      <c r="S21">
        <v>35.43</v>
      </c>
      <c r="T21">
        <v>5109.3999999999996</v>
      </c>
      <c r="U21">
        <v>0.74</v>
      </c>
      <c r="V21">
        <v>0.87</v>
      </c>
      <c r="W21">
        <v>3.01</v>
      </c>
      <c r="X21">
        <v>0.34</v>
      </c>
      <c r="Y21">
        <v>1</v>
      </c>
      <c r="Z21">
        <v>10</v>
      </c>
    </row>
    <row r="22" spans="1:26" x14ac:dyDescent="0.3">
      <c r="A22">
        <v>20</v>
      </c>
      <c r="B22">
        <v>65</v>
      </c>
      <c r="C22" t="s">
        <v>26</v>
      </c>
      <c r="D22">
        <v>6.3544</v>
      </c>
      <c r="E22">
        <v>15.74</v>
      </c>
      <c r="F22">
        <v>13.09</v>
      </c>
      <c r="G22">
        <v>46.21</v>
      </c>
      <c r="H22">
        <v>0.76</v>
      </c>
      <c r="I22">
        <v>17</v>
      </c>
      <c r="J22">
        <v>139.94999999999999</v>
      </c>
      <c r="K22">
        <v>46.47</v>
      </c>
      <c r="L22">
        <v>6</v>
      </c>
      <c r="M22">
        <v>1</v>
      </c>
      <c r="N22">
        <v>22.49</v>
      </c>
      <c r="O22">
        <v>17494.97</v>
      </c>
      <c r="P22">
        <v>111.92</v>
      </c>
      <c r="Q22">
        <v>988.32</v>
      </c>
      <c r="R22">
        <v>47.71</v>
      </c>
      <c r="S22">
        <v>35.43</v>
      </c>
      <c r="T22">
        <v>5079.37</v>
      </c>
      <c r="U22">
        <v>0.74</v>
      </c>
      <c r="V22">
        <v>0.87</v>
      </c>
      <c r="W22">
        <v>3.01</v>
      </c>
      <c r="X22">
        <v>0.34</v>
      </c>
      <c r="Y22">
        <v>1</v>
      </c>
      <c r="Z22">
        <v>10</v>
      </c>
    </row>
    <row r="23" spans="1:26" x14ac:dyDescent="0.3">
      <c r="A23">
        <v>21</v>
      </c>
      <c r="B23">
        <v>65</v>
      </c>
      <c r="C23" t="s">
        <v>26</v>
      </c>
      <c r="D23">
        <v>6.3540999999999999</v>
      </c>
      <c r="E23">
        <v>15.74</v>
      </c>
      <c r="F23">
        <v>13.09</v>
      </c>
      <c r="G23">
        <v>46.22</v>
      </c>
      <c r="H23">
        <v>0.79</v>
      </c>
      <c r="I23">
        <v>17</v>
      </c>
      <c r="J23">
        <v>140.29</v>
      </c>
      <c r="K23">
        <v>46.47</v>
      </c>
      <c r="L23">
        <v>6.25</v>
      </c>
      <c r="M23">
        <v>0</v>
      </c>
      <c r="N23">
        <v>22.58</v>
      </c>
      <c r="O23">
        <v>17536.87</v>
      </c>
      <c r="P23">
        <v>112.14</v>
      </c>
      <c r="Q23">
        <v>988.36</v>
      </c>
      <c r="R23">
        <v>47.69</v>
      </c>
      <c r="S23">
        <v>35.43</v>
      </c>
      <c r="T23">
        <v>5072.6899999999996</v>
      </c>
      <c r="U23">
        <v>0.74</v>
      </c>
      <c r="V23">
        <v>0.87</v>
      </c>
      <c r="W23">
        <v>3.01</v>
      </c>
      <c r="X23">
        <v>0.34</v>
      </c>
      <c r="Y23">
        <v>1</v>
      </c>
      <c r="Z23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26"/>
  <dimension ref="A1:Z63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130</v>
      </c>
      <c r="C2" t="s">
        <v>26</v>
      </c>
      <c r="D2">
        <v>3.3934000000000002</v>
      </c>
      <c r="E2">
        <v>29.47</v>
      </c>
      <c r="F2">
        <v>16.89</v>
      </c>
      <c r="G2">
        <v>5.07</v>
      </c>
      <c r="H2">
        <v>7.0000000000000007E-2</v>
      </c>
      <c r="I2">
        <v>200</v>
      </c>
      <c r="J2">
        <v>252.85</v>
      </c>
      <c r="K2">
        <v>59.19</v>
      </c>
      <c r="L2">
        <v>1</v>
      </c>
      <c r="M2">
        <v>198</v>
      </c>
      <c r="N2">
        <v>62.65</v>
      </c>
      <c r="O2">
        <v>31418.63</v>
      </c>
      <c r="P2">
        <v>277.60000000000002</v>
      </c>
      <c r="Q2">
        <v>988.97</v>
      </c>
      <c r="R2">
        <v>165.83</v>
      </c>
      <c r="S2">
        <v>35.43</v>
      </c>
      <c r="T2">
        <v>63224.01</v>
      </c>
      <c r="U2">
        <v>0.21</v>
      </c>
      <c r="V2">
        <v>0.68</v>
      </c>
      <c r="W2">
        <v>3.31</v>
      </c>
      <c r="X2">
        <v>4.12</v>
      </c>
      <c r="Y2">
        <v>1</v>
      </c>
      <c r="Z2">
        <v>10</v>
      </c>
    </row>
    <row r="3" spans="1:26" x14ac:dyDescent="0.3">
      <c r="A3">
        <v>1</v>
      </c>
      <c r="B3">
        <v>130</v>
      </c>
      <c r="C3" t="s">
        <v>26</v>
      </c>
      <c r="D3">
        <v>3.8691</v>
      </c>
      <c r="E3">
        <v>25.85</v>
      </c>
      <c r="F3">
        <v>15.76</v>
      </c>
      <c r="G3">
        <v>6.34</v>
      </c>
      <c r="H3">
        <v>0.09</v>
      </c>
      <c r="I3">
        <v>149</v>
      </c>
      <c r="J3">
        <v>253.3</v>
      </c>
      <c r="K3">
        <v>59.19</v>
      </c>
      <c r="L3">
        <v>1.25</v>
      </c>
      <c r="M3">
        <v>147</v>
      </c>
      <c r="N3">
        <v>62.86</v>
      </c>
      <c r="O3">
        <v>31474.5</v>
      </c>
      <c r="P3">
        <v>258.35000000000002</v>
      </c>
      <c r="Q3">
        <v>988.47</v>
      </c>
      <c r="R3">
        <v>131.4</v>
      </c>
      <c r="S3">
        <v>35.43</v>
      </c>
      <c r="T3">
        <v>46267.32</v>
      </c>
      <c r="U3">
        <v>0.27</v>
      </c>
      <c r="V3">
        <v>0.72</v>
      </c>
      <c r="W3">
        <v>3.2</v>
      </c>
      <c r="X3">
        <v>3</v>
      </c>
      <c r="Y3">
        <v>1</v>
      </c>
      <c r="Z3">
        <v>10</v>
      </c>
    </row>
    <row r="4" spans="1:26" x14ac:dyDescent="0.3">
      <c r="A4">
        <v>2</v>
      </c>
      <c r="B4">
        <v>130</v>
      </c>
      <c r="C4" t="s">
        <v>26</v>
      </c>
      <c r="D4">
        <v>4.1917</v>
      </c>
      <c r="E4">
        <v>23.86</v>
      </c>
      <c r="F4">
        <v>15.19</v>
      </c>
      <c r="G4">
        <v>7.59</v>
      </c>
      <c r="H4">
        <v>0.11</v>
      </c>
      <c r="I4">
        <v>120</v>
      </c>
      <c r="J4">
        <v>253.75</v>
      </c>
      <c r="K4">
        <v>59.19</v>
      </c>
      <c r="L4">
        <v>1.5</v>
      </c>
      <c r="M4">
        <v>118</v>
      </c>
      <c r="N4">
        <v>63.06</v>
      </c>
      <c r="O4">
        <v>31530.44</v>
      </c>
      <c r="P4">
        <v>248.26</v>
      </c>
      <c r="Q4">
        <v>988.6</v>
      </c>
      <c r="R4">
        <v>113.37</v>
      </c>
      <c r="S4">
        <v>35.43</v>
      </c>
      <c r="T4">
        <v>37396.239999999998</v>
      </c>
      <c r="U4">
        <v>0.31</v>
      </c>
      <c r="V4">
        <v>0.75</v>
      </c>
      <c r="W4">
        <v>3.16</v>
      </c>
      <c r="X4">
        <v>2.4300000000000002</v>
      </c>
      <c r="Y4">
        <v>1</v>
      </c>
      <c r="Z4">
        <v>10</v>
      </c>
    </row>
    <row r="5" spans="1:26" x14ac:dyDescent="0.3">
      <c r="A5">
        <v>3</v>
      </c>
      <c r="B5">
        <v>130</v>
      </c>
      <c r="C5" t="s">
        <v>26</v>
      </c>
      <c r="D5">
        <v>4.4551999999999996</v>
      </c>
      <c r="E5">
        <v>22.45</v>
      </c>
      <c r="F5">
        <v>14.75</v>
      </c>
      <c r="G5">
        <v>8.85</v>
      </c>
      <c r="H5">
        <v>0.12</v>
      </c>
      <c r="I5">
        <v>100</v>
      </c>
      <c r="J5">
        <v>254.21</v>
      </c>
      <c r="K5">
        <v>59.19</v>
      </c>
      <c r="L5">
        <v>1.75</v>
      </c>
      <c r="M5">
        <v>98</v>
      </c>
      <c r="N5">
        <v>63.26</v>
      </c>
      <c r="O5">
        <v>31586.46</v>
      </c>
      <c r="P5">
        <v>240.39</v>
      </c>
      <c r="Q5">
        <v>988.43</v>
      </c>
      <c r="R5">
        <v>99.84</v>
      </c>
      <c r="S5">
        <v>35.43</v>
      </c>
      <c r="T5">
        <v>30729.19</v>
      </c>
      <c r="U5">
        <v>0.35</v>
      </c>
      <c r="V5">
        <v>0.77</v>
      </c>
      <c r="W5">
        <v>3.12</v>
      </c>
      <c r="X5">
        <v>1.99</v>
      </c>
      <c r="Y5">
        <v>1</v>
      </c>
      <c r="Z5">
        <v>10</v>
      </c>
    </row>
    <row r="6" spans="1:26" x14ac:dyDescent="0.3">
      <c r="A6">
        <v>4</v>
      </c>
      <c r="B6">
        <v>130</v>
      </c>
      <c r="C6" t="s">
        <v>26</v>
      </c>
      <c r="D6">
        <v>4.6536999999999997</v>
      </c>
      <c r="E6">
        <v>21.49</v>
      </c>
      <c r="F6">
        <v>14.48</v>
      </c>
      <c r="G6">
        <v>10.1</v>
      </c>
      <c r="H6">
        <v>0.14000000000000001</v>
      </c>
      <c r="I6">
        <v>86</v>
      </c>
      <c r="J6">
        <v>254.66</v>
      </c>
      <c r="K6">
        <v>59.19</v>
      </c>
      <c r="L6">
        <v>2</v>
      </c>
      <c r="M6">
        <v>84</v>
      </c>
      <c r="N6">
        <v>63.47</v>
      </c>
      <c r="O6">
        <v>31642.55</v>
      </c>
      <c r="P6">
        <v>235.27</v>
      </c>
      <c r="Q6">
        <v>988.19</v>
      </c>
      <c r="R6">
        <v>91.24</v>
      </c>
      <c r="S6">
        <v>35.43</v>
      </c>
      <c r="T6">
        <v>26498.94</v>
      </c>
      <c r="U6">
        <v>0.39</v>
      </c>
      <c r="V6">
        <v>0.79</v>
      </c>
      <c r="W6">
        <v>3.11</v>
      </c>
      <c r="X6">
        <v>1.72</v>
      </c>
      <c r="Y6">
        <v>1</v>
      </c>
      <c r="Z6">
        <v>10</v>
      </c>
    </row>
    <row r="7" spans="1:26" x14ac:dyDescent="0.3">
      <c r="A7">
        <v>5</v>
      </c>
      <c r="B7">
        <v>130</v>
      </c>
      <c r="C7" t="s">
        <v>26</v>
      </c>
      <c r="D7">
        <v>4.8319999999999999</v>
      </c>
      <c r="E7">
        <v>20.7</v>
      </c>
      <c r="F7">
        <v>14.22</v>
      </c>
      <c r="G7">
        <v>11.38</v>
      </c>
      <c r="H7">
        <v>0.16</v>
      </c>
      <c r="I7">
        <v>75</v>
      </c>
      <c r="J7">
        <v>255.12</v>
      </c>
      <c r="K7">
        <v>59.19</v>
      </c>
      <c r="L7">
        <v>2.25</v>
      </c>
      <c r="M7">
        <v>73</v>
      </c>
      <c r="N7">
        <v>63.67</v>
      </c>
      <c r="O7">
        <v>31698.720000000001</v>
      </c>
      <c r="P7">
        <v>230.35</v>
      </c>
      <c r="Q7">
        <v>988.17</v>
      </c>
      <c r="R7">
        <v>83.45</v>
      </c>
      <c r="S7">
        <v>35.43</v>
      </c>
      <c r="T7">
        <v>22659.35</v>
      </c>
      <c r="U7">
        <v>0.42</v>
      </c>
      <c r="V7">
        <v>0.8</v>
      </c>
      <c r="W7">
        <v>3.08</v>
      </c>
      <c r="X7">
        <v>1.47</v>
      </c>
      <c r="Y7">
        <v>1</v>
      </c>
      <c r="Z7">
        <v>10</v>
      </c>
    </row>
    <row r="8" spans="1:26" x14ac:dyDescent="0.3">
      <c r="A8">
        <v>6</v>
      </c>
      <c r="B8">
        <v>130</v>
      </c>
      <c r="C8" t="s">
        <v>26</v>
      </c>
      <c r="D8">
        <v>4.9781000000000004</v>
      </c>
      <c r="E8">
        <v>20.09</v>
      </c>
      <c r="F8">
        <v>14.06</v>
      </c>
      <c r="G8">
        <v>12.78</v>
      </c>
      <c r="H8">
        <v>0.17</v>
      </c>
      <c r="I8">
        <v>66</v>
      </c>
      <c r="J8">
        <v>255.57</v>
      </c>
      <c r="K8">
        <v>59.19</v>
      </c>
      <c r="L8">
        <v>2.5</v>
      </c>
      <c r="M8">
        <v>64</v>
      </c>
      <c r="N8">
        <v>63.88</v>
      </c>
      <c r="O8">
        <v>31754.97</v>
      </c>
      <c r="P8">
        <v>227.06</v>
      </c>
      <c r="Q8">
        <v>988.45</v>
      </c>
      <c r="R8">
        <v>78.099999999999994</v>
      </c>
      <c r="S8">
        <v>35.43</v>
      </c>
      <c r="T8">
        <v>20032.009999999998</v>
      </c>
      <c r="U8">
        <v>0.45</v>
      </c>
      <c r="V8">
        <v>0.81</v>
      </c>
      <c r="W8">
        <v>3.07</v>
      </c>
      <c r="X8">
        <v>1.3</v>
      </c>
      <c r="Y8">
        <v>1</v>
      </c>
      <c r="Z8">
        <v>10</v>
      </c>
    </row>
    <row r="9" spans="1:26" x14ac:dyDescent="0.3">
      <c r="A9">
        <v>7</v>
      </c>
      <c r="B9">
        <v>130</v>
      </c>
      <c r="C9" t="s">
        <v>26</v>
      </c>
      <c r="D9">
        <v>5.0784000000000002</v>
      </c>
      <c r="E9">
        <v>19.690000000000001</v>
      </c>
      <c r="F9">
        <v>13.95</v>
      </c>
      <c r="G9">
        <v>13.95</v>
      </c>
      <c r="H9">
        <v>0.19</v>
      </c>
      <c r="I9">
        <v>60</v>
      </c>
      <c r="J9">
        <v>256.02999999999997</v>
      </c>
      <c r="K9">
        <v>59.19</v>
      </c>
      <c r="L9">
        <v>2.75</v>
      </c>
      <c r="M9">
        <v>58</v>
      </c>
      <c r="N9">
        <v>64.09</v>
      </c>
      <c r="O9">
        <v>31811.29</v>
      </c>
      <c r="P9">
        <v>224.67</v>
      </c>
      <c r="Q9">
        <v>988.44</v>
      </c>
      <c r="R9">
        <v>75.02</v>
      </c>
      <c r="S9">
        <v>35.43</v>
      </c>
      <c r="T9">
        <v>18523.509999999998</v>
      </c>
      <c r="U9">
        <v>0.47</v>
      </c>
      <c r="V9">
        <v>0.82</v>
      </c>
      <c r="W9">
        <v>3.06</v>
      </c>
      <c r="X9">
        <v>1.2</v>
      </c>
      <c r="Y9">
        <v>1</v>
      </c>
      <c r="Z9">
        <v>10</v>
      </c>
    </row>
    <row r="10" spans="1:26" x14ac:dyDescent="0.3">
      <c r="A10">
        <v>8</v>
      </c>
      <c r="B10">
        <v>130</v>
      </c>
      <c r="C10" t="s">
        <v>26</v>
      </c>
      <c r="D10">
        <v>5.1901999999999999</v>
      </c>
      <c r="E10">
        <v>19.27</v>
      </c>
      <c r="F10">
        <v>13.82</v>
      </c>
      <c r="G10">
        <v>15.36</v>
      </c>
      <c r="H10">
        <v>0.21</v>
      </c>
      <c r="I10">
        <v>54</v>
      </c>
      <c r="J10">
        <v>256.49</v>
      </c>
      <c r="K10">
        <v>59.19</v>
      </c>
      <c r="L10">
        <v>3</v>
      </c>
      <c r="M10">
        <v>52</v>
      </c>
      <c r="N10">
        <v>64.290000000000006</v>
      </c>
      <c r="O10">
        <v>31867.69</v>
      </c>
      <c r="P10">
        <v>221.89</v>
      </c>
      <c r="Q10">
        <v>988.16</v>
      </c>
      <c r="R10">
        <v>70.53</v>
      </c>
      <c r="S10">
        <v>35.43</v>
      </c>
      <c r="T10">
        <v>16303.59</v>
      </c>
      <c r="U10">
        <v>0.5</v>
      </c>
      <c r="V10">
        <v>0.82</v>
      </c>
      <c r="W10">
        <v>3.06</v>
      </c>
      <c r="X10">
        <v>1.07</v>
      </c>
      <c r="Y10">
        <v>1</v>
      </c>
      <c r="Z10">
        <v>10</v>
      </c>
    </row>
    <row r="11" spans="1:26" x14ac:dyDescent="0.3">
      <c r="A11">
        <v>9</v>
      </c>
      <c r="B11">
        <v>130</v>
      </c>
      <c r="C11" t="s">
        <v>26</v>
      </c>
      <c r="D11">
        <v>5.2638999999999996</v>
      </c>
      <c r="E11">
        <v>19</v>
      </c>
      <c r="F11">
        <v>13.75</v>
      </c>
      <c r="G11">
        <v>16.5</v>
      </c>
      <c r="H11">
        <v>0.23</v>
      </c>
      <c r="I11">
        <v>50</v>
      </c>
      <c r="J11">
        <v>256.95</v>
      </c>
      <c r="K11">
        <v>59.19</v>
      </c>
      <c r="L11">
        <v>3.25</v>
      </c>
      <c r="M11">
        <v>48</v>
      </c>
      <c r="N11">
        <v>64.5</v>
      </c>
      <c r="O11">
        <v>31924.29</v>
      </c>
      <c r="P11">
        <v>220.08</v>
      </c>
      <c r="Q11">
        <v>988.28</v>
      </c>
      <c r="R11">
        <v>68.819999999999993</v>
      </c>
      <c r="S11">
        <v>35.43</v>
      </c>
      <c r="T11">
        <v>15470.76</v>
      </c>
      <c r="U11">
        <v>0.51</v>
      </c>
      <c r="V11">
        <v>0.83</v>
      </c>
      <c r="W11">
        <v>3.04</v>
      </c>
      <c r="X11">
        <v>0.99</v>
      </c>
      <c r="Y11">
        <v>1</v>
      </c>
      <c r="Z11">
        <v>10</v>
      </c>
    </row>
    <row r="12" spans="1:26" x14ac:dyDescent="0.3">
      <c r="A12">
        <v>10</v>
      </c>
      <c r="B12">
        <v>130</v>
      </c>
      <c r="C12" t="s">
        <v>26</v>
      </c>
      <c r="D12">
        <v>5.3459000000000003</v>
      </c>
      <c r="E12">
        <v>18.71</v>
      </c>
      <c r="F12">
        <v>13.65</v>
      </c>
      <c r="G12">
        <v>17.809999999999999</v>
      </c>
      <c r="H12">
        <v>0.24</v>
      </c>
      <c r="I12">
        <v>46</v>
      </c>
      <c r="J12">
        <v>257.41000000000003</v>
      </c>
      <c r="K12">
        <v>59.19</v>
      </c>
      <c r="L12">
        <v>3.5</v>
      </c>
      <c r="M12">
        <v>44</v>
      </c>
      <c r="N12">
        <v>64.709999999999994</v>
      </c>
      <c r="O12">
        <v>31980.84</v>
      </c>
      <c r="P12">
        <v>217.71</v>
      </c>
      <c r="Q12">
        <v>988.09</v>
      </c>
      <c r="R12">
        <v>65.319999999999993</v>
      </c>
      <c r="S12">
        <v>35.43</v>
      </c>
      <c r="T12">
        <v>13743.12</v>
      </c>
      <c r="U12">
        <v>0.54</v>
      </c>
      <c r="V12">
        <v>0.83</v>
      </c>
      <c r="W12">
        <v>3.05</v>
      </c>
      <c r="X12">
        <v>0.9</v>
      </c>
      <c r="Y12">
        <v>1</v>
      </c>
      <c r="Z12">
        <v>10</v>
      </c>
    </row>
    <row r="13" spans="1:26" x14ac:dyDescent="0.3">
      <c r="A13">
        <v>11</v>
      </c>
      <c r="B13">
        <v>130</v>
      </c>
      <c r="C13" t="s">
        <v>26</v>
      </c>
      <c r="D13">
        <v>5.4043000000000001</v>
      </c>
      <c r="E13">
        <v>18.5</v>
      </c>
      <c r="F13">
        <v>13.6</v>
      </c>
      <c r="G13">
        <v>18.97</v>
      </c>
      <c r="H13">
        <v>0.26</v>
      </c>
      <c r="I13">
        <v>43</v>
      </c>
      <c r="J13">
        <v>257.86</v>
      </c>
      <c r="K13">
        <v>59.19</v>
      </c>
      <c r="L13">
        <v>3.75</v>
      </c>
      <c r="M13">
        <v>41</v>
      </c>
      <c r="N13">
        <v>64.92</v>
      </c>
      <c r="O13">
        <v>32037.48</v>
      </c>
      <c r="P13">
        <v>216.28</v>
      </c>
      <c r="Q13">
        <v>988.19</v>
      </c>
      <c r="R13">
        <v>64.010000000000005</v>
      </c>
      <c r="S13">
        <v>35.43</v>
      </c>
      <c r="T13">
        <v>13102.87</v>
      </c>
      <c r="U13">
        <v>0.55000000000000004</v>
      </c>
      <c r="V13">
        <v>0.84</v>
      </c>
      <c r="W13">
        <v>3.03</v>
      </c>
      <c r="X13">
        <v>0.84</v>
      </c>
      <c r="Y13">
        <v>1</v>
      </c>
      <c r="Z13">
        <v>10</v>
      </c>
    </row>
    <row r="14" spans="1:26" x14ac:dyDescent="0.3">
      <c r="A14">
        <v>12</v>
      </c>
      <c r="B14">
        <v>130</v>
      </c>
      <c r="C14" t="s">
        <v>26</v>
      </c>
      <c r="D14">
        <v>5.4706999999999999</v>
      </c>
      <c r="E14">
        <v>18.28</v>
      </c>
      <c r="F14">
        <v>13.52</v>
      </c>
      <c r="G14">
        <v>20.28</v>
      </c>
      <c r="H14">
        <v>0.28000000000000003</v>
      </c>
      <c r="I14">
        <v>40</v>
      </c>
      <c r="J14">
        <v>258.32</v>
      </c>
      <c r="K14">
        <v>59.19</v>
      </c>
      <c r="L14">
        <v>4</v>
      </c>
      <c r="M14">
        <v>38</v>
      </c>
      <c r="N14">
        <v>65.13</v>
      </c>
      <c r="O14">
        <v>32094.19</v>
      </c>
      <c r="P14">
        <v>214.3</v>
      </c>
      <c r="Q14">
        <v>988.2</v>
      </c>
      <c r="R14">
        <v>61.62</v>
      </c>
      <c r="S14">
        <v>35.43</v>
      </c>
      <c r="T14">
        <v>11921.32</v>
      </c>
      <c r="U14">
        <v>0.57999999999999996</v>
      </c>
      <c r="V14">
        <v>0.84</v>
      </c>
      <c r="W14">
        <v>3.02</v>
      </c>
      <c r="X14">
        <v>0.76</v>
      </c>
      <c r="Y14">
        <v>1</v>
      </c>
      <c r="Z14">
        <v>10</v>
      </c>
    </row>
    <row r="15" spans="1:26" x14ac:dyDescent="0.3">
      <c r="A15">
        <v>13</v>
      </c>
      <c r="B15">
        <v>130</v>
      </c>
      <c r="C15" t="s">
        <v>26</v>
      </c>
      <c r="D15">
        <v>5.5278999999999998</v>
      </c>
      <c r="E15">
        <v>18.09</v>
      </c>
      <c r="F15">
        <v>13.48</v>
      </c>
      <c r="G15">
        <v>21.85</v>
      </c>
      <c r="H15">
        <v>0.28999999999999998</v>
      </c>
      <c r="I15">
        <v>37</v>
      </c>
      <c r="J15">
        <v>258.77999999999997</v>
      </c>
      <c r="K15">
        <v>59.19</v>
      </c>
      <c r="L15">
        <v>4.25</v>
      </c>
      <c r="M15">
        <v>35</v>
      </c>
      <c r="N15">
        <v>65.34</v>
      </c>
      <c r="O15">
        <v>32150.98</v>
      </c>
      <c r="P15">
        <v>212.93</v>
      </c>
      <c r="Q15">
        <v>988.3</v>
      </c>
      <c r="R15">
        <v>60.2</v>
      </c>
      <c r="S15">
        <v>35.43</v>
      </c>
      <c r="T15">
        <v>11224.72</v>
      </c>
      <c r="U15">
        <v>0.59</v>
      </c>
      <c r="V15">
        <v>0.85</v>
      </c>
      <c r="W15">
        <v>3.02</v>
      </c>
      <c r="X15">
        <v>0.72</v>
      </c>
      <c r="Y15">
        <v>1</v>
      </c>
      <c r="Z15">
        <v>10</v>
      </c>
    </row>
    <row r="16" spans="1:26" x14ac:dyDescent="0.3">
      <c r="A16">
        <v>14</v>
      </c>
      <c r="B16">
        <v>130</v>
      </c>
      <c r="C16" t="s">
        <v>26</v>
      </c>
      <c r="D16">
        <v>5.5698999999999996</v>
      </c>
      <c r="E16">
        <v>17.95</v>
      </c>
      <c r="F16">
        <v>13.44</v>
      </c>
      <c r="G16">
        <v>23.04</v>
      </c>
      <c r="H16">
        <v>0.31</v>
      </c>
      <c r="I16">
        <v>35</v>
      </c>
      <c r="J16">
        <v>259.25</v>
      </c>
      <c r="K16">
        <v>59.19</v>
      </c>
      <c r="L16">
        <v>4.5</v>
      </c>
      <c r="M16">
        <v>33</v>
      </c>
      <c r="N16">
        <v>65.55</v>
      </c>
      <c r="O16">
        <v>32207.85</v>
      </c>
      <c r="P16">
        <v>211.75</v>
      </c>
      <c r="Q16">
        <v>988.23</v>
      </c>
      <c r="R16">
        <v>58.76</v>
      </c>
      <c r="S16">
        <v>35.43</v>
      </c>
      <c r="T16">
        <v>10516.09</v>
      </c>
      <c r="U16">
        <v>0.6</v>
      </c>
      <c r="V16">
        <v>0.85</v>
      </c>
      <c r="W16">
        <v>3.03</v>
      </c>
      <c r="X16">
        <v>0.68</v>
      </c>
      <c r="Y16">
        <v>1</v>
      </c>
      <c r="Z16">
        <v>10</v>
      </c>
    </row>
    <row r="17" spans="1:26" x14ac:dyDescent="0.3">
      <c r="A17">
        <v>15</v>
      </c>
      <c r="B17">
        <v>130</v>
      </c>
      <c r="C17" t="s">
        <v>26</v>
      </c>
      <c r="D17">
        <v>5.6108000000000002</v>
      </c>
      <c r="E17">
        <v>17.82</v>
      </c>
      <c r="F17">
        <v>13.4</v>
      </c>
      <c r="G17">
        <v>24.37</v>
      </c>
      <c r="H17">
        <v>0.33</v>
      </c>
      <c r="I17">
        <v>33</v>
      </c>
      <c r="J17">
        <v>259.70999999999998</v>
      </c>
      <c r="K17">
        <v>59.19</v>
      </c>
      <c r="L17">
        <v>4.75</v>
      </c>
      <c r="M17">
        <v>31</v>
      </c>
      <c r="N17">
        <v>65.760000000000005</v>
      </c>
      <c r="O17">
        <v>32264.79</v>
      </c>
      <c r="P17">
        <v>210.26</v>
      </c>
      <c r="Q17">
        <v>988.16</v>
      </c>
      <c r="R17">
        <v>57.73</v>
      </c>
      <c r="S17">
        <v>35.43</v>
      </c>
      <c r="T17">
        <v>10012.42</v>
      </c>
      <c r="U17">
        <v>0.61</v>
      </c>
      <c r="V17">
        <v>0.85</v>
      </c>
      <c r="W17">
        <v>3.03</v>
      </c>
      <c r="X17">
        <v>0.65</v>
      </c>
      <c r="Y17">
        <v>1</v>
      </c>
      <c r="Z17">
        <v>10</v>
      </c>
    </row>
    <row r="18" spans="1:26" x14ac:dyDescent="0.3">
      <c r="A18">
        <v>16</v>
      </c>
      <c r="B18">
        <v>130</v>
      </c>
      <c r="C18" t="s">
        <v>26</v>
      </c>
      <c r="D18">
        <v>5.6542000000000003</v>
      </c>
      <c r="E18">
        <v>17.690000000000001</v>
      </c>
      <c r="F18">
        <v>13.37</v>
      </c>
      <c r="G18">
        <v>25.87</v>
      </c>
      <c r="H18">
        <v>0.34</v>
      </c>
      <c r="I18">
        <v>31</v>
      </c>
      <c r="J18">
        <v>260.17</v>
      </c>
      <c r="K18">
        <v>59.19</v>
      </c>
      <c r="L18">
        <v>5</v>
      </c>
      <c r="M18">
        <v>29</v>
      </c>
      <c r="N18">
        <v>65.98</v>
      </c>
      <c r="O18">
        <v>32321.82</v>
      </c>
      <c r="P18">
        <v>209.12</v>
      </c>
      <c r="Q18">
        <v>988.12</v>
      </c>
      <c r="R18">
        <v>56.75</v>
      </c>
      <c r="S18">
        <v>35.43</v>
      </c>
      <c r="T18">
        <v>9531.9599999999991</v>
      </c>
      <c r="U18">
        <v>0.62</v>
      </c>
      <c r="V18">
        <v>0.85</v>
      </c>
      <c r="W18">
        <v>3.02</v>
      </c>
      <c r="X18">
        <v>0.61</v>
      </c>
      <c r="Y18">
        <v>1</v>
      </c>
      <c r="Z18">
        <v>10</v>
      </c>
    </row>
    <row r="19" spans="1:26" x14ac:dyDescent="0.3">
      <c r="A19">
        <v>17</v>
      </c>
      <c r="B19">
        <v>130</v>
      </c>
      <c r="C19" t="s">
        <v>26</v>
      </c>
      <c r="D19">
        <v>5.6833</v>
      </c>
      <c r="E19">
        <v>17.600000000000001</v>
      </c>
      <c r="F19">
        <v>13.32</v>
      </c>
      <c r="G19">
        <v>26.65</v>
      </c>
      <c r="H19">
        <v>0.36</v>
      </c>
      <c r="I19">
        <v>30</v>
      </c>
      <c r="J19">
        <v>260.63</v>
      </c>
      <c r="K19">
        <v>59.19</v>
      </c>
      <c r="L19">
        <v>5.25</v>
      </c>
      <c r="M19">
        <v>28</v>
      </c>
      <c r="N19">
        <v>66.19</v>
      </c>
      <c r="O19">
        <v>32378.93</v>
      </c>
      <c r="P19">
        <v>207.94</v>
      </c>
      <c r="Q19">
        <v>988.14</v>
      </c>
      <c r="R19">
        <v>55.5</v>
      </c>
      <c r="S19">
        <v>35.43</v>
      </c>
      <c r="T19">
        <v>8913.08</v>
      </c>
      <c r="U19">
        <v>0.64</v>
      </c>
      <c r="V19">
        <v>0.86</v>
      </c>
      <c r="W19">
        <v>3.01</v>
      </c>
      <c r="X19">
        <v>0.56999999999999995</v>
      </c>
      <c r="Y19">
        <v>1</v>
      </c>
      <c r="Z19">
        <v>10</v>
      </c>
    </row>
    <row r="20" spans="1:26" x14ac:dyDescent="0.3">
      <c r="A20">
        <v>18</v>
      </c>
      <c r="B20">
        <v>130</v>
      </c>
      <c r="C20" t="s">
        <v>26</v>
      </c>
      <c r="D20">
        <v>5.7210999999999999</v>
      </c>
      <c r="E20">
        <v>17.48</v>
      </c>
      <c r="F20">
        <v>13.31</v>
      </c>
      <c r="G20">
        <v>28.51</v>
      </c>
      <c r="H20">
        <v>0.37</v>
      </c>
      <c r="I20">
        <v>28</v>
      </c>
      <c r="J20">
        <v>261.10000000000002</v>
      </c>
      <c r="K20">
        <v>59.19</v>
      </c>
      <c r="L20">
        <v>5.5</v>
      </c>
      <c r="M20">
        <v>26</v>
      </c>
      <c r="N20">
        <v>66.400000000000006</v>
      </c>
      <c r="O20">
        <v>32436.11</v>
      </c>
      <c r="P20">
        <v>206.63</v>
      </c>
      <c r="Q20">
        <v>988.15</v>
      </c>
      <c r="R20">
        <v>55</v>
      </c>
      <c r="S20">
        <v>35.43</v>
      </c>
      <c r="T20">
        <v>8669.4</v>
      </c>
      <c r="U20">
        <v>0.64</v>
      </c>
      <c r="V20">
        <v>0.86</v>
      </c>
      <c r="W20">
        <v>3.01</v>
      </c>
      <c r="X20">
        <v>0.55000000000000004</v>
      </c>
      <c r="Y20">
        <v>1</v>
      </c>
      <c r="Z20">
        <v>10</v>
      </c>
    </row>
    <row r="21" spans="1:26" x14ac:dyDescent="0.3">
      <c r="A21">
        <v>19</v>
      </c>
      <c r="B21">
        <v>130</v>
      </c>
      <c r="C21" t="s">
        <v>26</v>
      </c>
      <c r="D21">
        <v>5.75</v>
      </c>
      <c r="E21">
        <v>17.39</v>
      </c>
      <c r="F21">
        <v>13.27</v>
      </c>
      <c r="G21">
        <v>29.48</v>
      </c>
      <c r="H21">
        <v>0.39</v>
      </c>
      <c r="I21">
        <v>27</v>
      </c>
      <c r="J21">
        <v>261.56</v>
      </c>
      <c r="K21">
        <v>59.19</v>
      </c>
      <c r="L21">
        <v>5.75</v>
      </c>
      <c r="M21">
        <v>25</v>
      </c>
      <c r="N21">
        <v>66.62</v>
      </c>
      <c r="O21">
        <v>32493.38</v>
      </c>
      <c r="P21">
        <v>205.34</v>
      </c>
      <c r="Q21">
        <v>988.14</v>
      </c>
      <c r="R21">
        <v>53.87</v>
      </c>
      <c r="S21">
        <v>35.43</v>
      </c>
      <c r="T21">
        <v>8112.4</v>
      </c>
      <c r="U21">
        <v>0.66</v>
      </c>
      <c r="V21">
        <v>0.86</v>
      </c>
      <c r="W21">
        <v>3</v>
      </c>
      <c r="X21">
        <v>0.51</v>
      </c>
      <c r="Y21">
        <v>1</v>
      </c>
      <c r="Z21">
        <v>10</v>
      </c>
    </row>
    <row r="22" spans="1:26" x14ac:dyDescent="0.3">
      <c r="A22">
        <v>20</v>
      </c>
      <c r="B22">
        <v>130</v>
      </c>
      <c r="C22" t="s">
        <v>26</v>
      </c>
      <c r="D22">
        <v>5.7732999999999999</v>
      </c>
      <c r="E22">
        <v>17.32</v>
      </c>
      <c r="F22">
        <v>13.24</v>
      </c>
      <c r="G22">
        <v>30.57</v>
      </c>
      <c r="H22">
        <v>0.41</v>
      </c>
      <c r="I22">
        <v>26</v>
      </c>
      <c r="J22">
        <v>262.02999999999997</v>
      </c>
      <c r="K22">
        <v>59.19</v>
      </c>
      <c r="L22">
        <v>6</v>
      </c>
      <c r="M22">
        <v>24</v>
      </c>
      <c r="N22">
        <v>66.83</v>
      </c>
      <c r="O22">
        <v>32550.720000000001</v>
      </c>
      <c r="P22">
        <v>204.52</v>
      </c>
      <c r="Q22">
        <v>988.16</v>
      </c>
      <c r="R22">
        <v>53.03</v>
      </c>
      <c r="S22">
        <v>35.43</v>
      </c>
      <c r="T22">
        <v>7693.88</v>
      </c>
      <c r="U22">
        <v>0.67</v>
      </c>
      <c r="V22">
        <v>0.86</v>
      </c>
      <c r="W22">
        <v>3.01</v>
      </c>
      <c r="X22">
        <v>0.49</v>
      </c>
      <c r="Y22">
        <v>1</v>
      </c>
      <c r="Z22">
        <v>10</v>
      </c>
    </row>
    <row r="23" spans="1:26" x14ac:dyDescent="0.3">
      <c r="A23">
        <v>21</v>
      </c>
      <c r="B23">
        <v>130</v>
      </c>
      <c r="C23" t="s">
        <v>26</v>
      </c>
      <c r="D23">
        <v>5.7915999999999999</v>
      </c>
      <c r="E23">
        <v>17.27</v>
      </c>
      <c r="F23">
        <v>13.24</v>
      </c>
      <c r="G23">
        <v>31.77</v>
      </c>
      <c r="H23">
        <v>0.42</v>
      </c>
      <c r="I23">
        <v>25</v>
      </c>
      <c r="J23">
        <v>262.49</v>
      </c>
      <c r="K23">
        <v>59.19</v>
      </c>
      <c r="L23">
        <v>6.25</v>
      </c>
      <c r="M23">
        <v>23</v>
      </c>
      <c r="N23">
        <v>67.05</v>
      </c>
      <c r="O23">
        <v>32608.15</v>
      </c>
      <c r="P23">
        <v>203.61</v>
      </c>
      <c r="Q23">
        <v>988.28</v>
      </c>
      <c r="R23">
        <v>52.85</v>
      </c>
      <c r="S23">
        <v>35.43</v>
      </c>
      <c r="T23">
        <v>7609.98</v>
      </c>
      <c r="U23">
        <v>0.67</v>
      </c>
      <c r="V23">
        <v>0.86</v>
      </c>
      <c r="W23">
        <v>3.01</v>
      </c>
      <c r="X23">
        <v>0.48</v>
      </c>
      <c r="Y23">
        <v>1</v>
      </c>
      <c r="Z23">
        <v>10</v>
      </c>
    </row>
    <row r="24" spans="1:26" x14ac:dyDescent="0.3">
      <c r="A24">
        <v>22</v>
      </c>
      <c r="B24">
        <v>130</v>
      </c>
      <c r="C24" t="s">
        <v>26</v>
      </c>
      <c r="D24">
        <v>5.8231000000000002</v>
      </c>
      <c r="E24">
        <v>17.170000000000002</v>
      </c>
      <c r="F24">
        <v>13.19</v>
      </c>
      <c r="G24">
        <v>32.99</v>
      </c>
      <c r="H24">
        <v>0.44</v>
      </c>
      <c r="I24">
        <v>24</v>
      </c>
      <c r="J24">
        <v>262.95999999999998</v>
      </c>
      <c r="K24">
        <v>59.19</v>
      </c>
      <c r="L24">
        <v>6.5</v>
      </c>
      <c r="M24">
        <v>22</v>
      </c>
      <c r="N24">
        <v>67.260000000000005</v>
      </c>
      <c r="O24">
        <v>32665.66</v>
      </c>
      <c r="P24">
        <v>202.1</v>
      </c>
      <c r="Q24">
        <v>988.17</v>
      </c>
      <c r="R24">
        <v>51.5</v>
      </c>
      <c r="S24">
        <v>35.43</v>
      </c>
      <c r="T24">
        <v>6943.43</v>
      </c>
      <c r="U24">
        <v>0.69</v>
      </c>
      <c r="V24">
        <v>0.86</v>
      </c>
      <c r="W24">
        <v>3</v>
      </c>
      <c r="X24">
        <v>0.44</v>
      </c>
      <c r="Y24">
        <v>1</v>
      </c>
      <c r="Z24">
        <v>10</v>
      </c>
    </row>
    <row r="25" spans="1:26" x14ac:dyDescent="0.3">
      <c r="A25">
        <v>23</v>
      </c>
      <c r="B25">
        <v>130</v>
      </c>
      <c r="C25" t="s">
        <v>26</v>
      </c>
      <c r="D25">
        <v>5.8402000000000003</v>
      </c>
      <c r="E25">
        <v>17.12</v>
      </c>
      <c r="F25">
        <v>13.19</v>
      </c>
      <c r="G25">
        <v>34.42</v>
      </c>
      <c r="H25">
        <v>0.46</v>
      </c>
      <c r="I25">
        <v>23</v>
      </c>
      <c r="J25">
        <v>263.42</v>
      </c>
      <c r="K25">
        <v>59.19</v>
      </c>
      <c r="L25">
        <v>6.75</v>
      </c>
      <c r="M25">
        <v>21</v>
      </c>
      <c r="N25">
        <v>67.48</v>
      </c>
      <c r="O25">
        <v>32723.25</v>
      </c>
      <c r="P25">
        <v>201.75</v>
      </c>
      <c r="Q25">
        <v>988.21</v>
      </c>
      <c r="R25">
        <v>51.4</v>
      </c>
      <c r="S25">
        <v>35.43</v>
      </c>
      <c r="T25">
        <v>6894.33</v>
      </c>
      <c r="U25">
        <v>0.69</v>
      </c>
      <c r="V25">
        <v>0.86</v>
      </c>
      <c r="W25">
        <v>3</v>
      </c>
      <c r="X25">
        <v>0.44</v>
      </c>
      <c r="Y25">
        <v>1</v>
      </c>
      <c r="Z25">
        <v>10</v>
      </c>
    </row>
    <row r="26" spans="1:26" x14ac:dyDescent="0.3">
      <c r="A26">
        <v>24</v>
      </c>
      <c r="B26">
        <v>130</v>
      </c>
      <c r="C26" t="s">
        <v>26</v>
      </c>
      <c r="D26">
        <v>5.8663999999999996</v>
      </c>
      <c r="E26">
        <v>17.05</v>
      </c>
      <c r="F26">
        <v>13.17</v>
      </c>
      <c r="G26">
        <v>35.909999999999997</v>
      </c>
      <c r="H26">
        <v>0.47</v>
      </c>
      <c r="I26">
        <v>22</v>
      </c>
      <c r="J26">
        <v>263.89</v>
      </c>
      <c r="K26">
        <v>59.19</v>
      </c>
      <c r="L26">
        <v>7</v>
      </c>
      <c r="M26">
        <v>20</v>
      </c>
      <c r="N26">
        <v>67.7</v>
      </c>
      <c r="O26">
        <v>32780.92</v>
      </c>
      <c r="P26">
        <v>200.6</v>
      </c>
      <c r="Q26">
        <v>988.11</v>
      </c>
      <c r="R26">
        <v>50.49</v>
      </c>
      <c r="S26">
        <v>35.43</v>
      </c>
      <c r="T26">
        <v>6448.48</v>
      </c>
      <c r="U26">
        <v>0.7</v>
      </c>
      <c r="V26">
        <v>0.87</v>
      </c>
      <c r="W26">
        <v>3</v>
      </c>
      <c r="X26">
        <v>0.41</v>
      </c>
      <c r="Y26">
        <v>1</v>
      </c>
      <c r="Z26">
        <v>10</v>
      </c>
    </row>
    <row r="27" spans="1:26" x14ac:dyDescent="0.3">
      <c r="A27">
        <v>25</v>
      </c>
      <c r="B27">
        <v>130</v>
      </c>
      <c r="C27" t="s">
        <v>26</v>
      </c>
      <c r="D27">
        <v>5.8856000000000002</v>
      </c>
      <c r="E27">
        <v>16.989999999999998</v>
      </c>
      <c r="F27">
        <v>13.16</v>
      </c>
      <c r="G27">
        <v>37.6</v>
      </c>
      <c r="H27">
        <v>0.49</v>
      </c>
      <c r="I27">
        <v>21</v>
      </c>
      <c r="J27">
        <v>264.36</v>
      </c>
      <c r="K27">
        <v>59.19</v>
      </c>
      <c r="L27">
        <v>7.25</v>
      </c>
      <c r="M27">
        <v>19</v>
      </c>
      <c r="N27">
        <v>67.92</v>
      </c>
      <c r="O27">
        <v>32838.68</v>
      </c>
      <c r="P27">
        <v>199.56</v>
      </c>
      <c r="Q27">
        <v>988.18</v>
      </c>
      <c r="R27">
        <v>50.45</v>
      </c>
      <c r="S27">
        <v>35.43</v>
      </c>
      <c r="T27">
        <v>6433.28</v>
      </c>
      <c r="U27">
        <v>0.7</v>
      </c>
      <c r="V27">
        <v>0.87</v>
      </c>
      <c r="W27">
        <v>3</v>
      </c>
      <c r="X27">
        <v>0.4</v>
      </c>
      <c r="Y27">
        <v>1</v>
      </c>
      <c r="Z27">
        <v>10</v>
      </c>
    </row>
    <row r="28" spans="1:26" x14ac:dyDescent="0.3">
      <c r="A28">
        <v>26</v>
      </c>
      <c r="B28">
        <v>130</v>
      </c>
      <c r="C28" t="s">
        <v>26</v>
      </c>
      <c r="D28">
        <v>5.9124999999999996</v>
      </c>
      <c r="E28">
        <v>16.91</v>
      </c>
      <c r="F28">
        <v>13.13</v>
      </c>
      <c r="G28">
        <v>39.39</v>
      </c>
      <c r="H28">
        <v>0.5</v>
      </c>
      <c r="I28">
        <v>20</v>
      </c>
      <c r="J28">
        <v>264.83</v>
      </c>
      <c r="K28">
        <v>59.19</v>
      </c>
      <c r="L28">
        <v>7.5</v>
      </c>
      <c r="M28">
        <v>18</v>
      </c>
      <c r="N28">
        <v>68.14</v>
      </c>
      <c r="O28">
        <v>32896.51</v>
      </c>
      <c r="P28">
        <v>198.44</v>
      </c>
      <c r="Q28">
        <v>988.14</v>
      </c>
      <c r="R28">
        <v>49.47</v>
      </c>
      <c r="S28">
        <v>35.43</v>
      </c>
      <c r="T28">
        <v>5948.12</v>
      </c>
      <c r="U28">
        <v>0.72</v>
      </c>
      <c r="V28">
        <v>0.87</v>
      </c>
      <c r="W28">
        <v>3</v>
      </c>
      <c r="X28">
        <v>0.38</v>
      </c>
      <c r="Y28">
        <v>1</v>
      </c>
      <c r="Z28">
        <v>10</v>
      </c>
    </row>
    <row r="29" spans="1:26" x14ac:dyDescent="0.3">
      <c r="A29">
        <v>27</v>
      </c>
      <c r="B29">
        <v>130</v>
      </c>
      <c r="C29" t="s">
        <v>26</v>
      </c>
      <c r="D29">
        <v>5.9145000000000003</v>
      </c>
      <c r="E29">
        <v>16.91</v>
      </c>
      <c r="F29">
        <v>13.12</v>
      </c>
      <c r="G29">
        <v>39.369999999999997</v>
      </c>
      <c r="H29">
        <v>0.52</v>
      </c>
      <c r="I29">
        <v>20</v>
      </c>
      <c r="J29">
        <v>265.3</v>
      </c>
      <c r="K29">
        <v>59.19</v>
      </c>
      <c r="L29">
        <v>7.75</v>
      </c>
      <c r="M29">
        <v>18</v>
      </c>
      <c r="N29">
        <v>68.36</v>
      </c>
      <c r="O29">
        <v>32954.43</v>
      </c>
      <c r="P29">
        <v>197.87</v>
      </c>
      <c r="Q29">
        <v>988.18</v>
      </c>
      <c r="R29">
        <v>49.03</v>
      </c>
      <c r="S29">
        <v>35.43</v>
      </c>
      <c r="T29">
        <v>5725.67</v>
      </c>
      <c r="U29">
        <v>0.72</v>
      </c>
      <c r="V29">
        <v>0.87</v>
      </c>
      <c r="W29">
        <v>3</v>
      </c>
      <c r="X29">
        <v>0.37</v>
      </c>
      <c r="Y29">
        <v>1</v>
      </c>
      <c r="Z29">
        <v>10</v>
      </c>
    </row>
    <row r="30" spans="1:26" x14ac:dyDescent="0.3">
      <c r="A30">
        <v>28</v>
      </c>
      <c r="B30">
        <v>130</v>
      </c>
      <c r="C30" t="s">
        <v>26</v>
      </c>
      <c r="D30">
        <v>5.9374000000000002</v>
      </c>
      <c r="E30">
        <v>16.84</v>
      </c>
      <c r="F30">
        <v>13.11</v>
      </c>
      <c r="G30">
        <v>41.4</v>
      </c>
      <c r="H30">
        <v>0.54</v>
      </c>
      <c r="I30">
        <v>19</v>
      </c>
      <c r="J30">
        <v>265.77</v>
      </c>
      <c r="K30">
        <v>59.19</v>
      </c>
      <c r="L30">
        <v>8</v>
      </c>
      <c r="M30">
        <v>17</v>
      </c>
      <c r="N30">
        <v>68.58</v>
      </c>
      <c r="O30">
        <v>33012.44</v>
      </c>
      <c r="P30">
        <v>196.83</v>
      </c>
      <c r="Q30">
        <v>988.13</v>
      </c>
      <c r="R30">
        <v>48.85</v>
      </c>
      <c r="S30">
        <v>35.43</v>
      </c>
      <c r="T30">
        <v>5639.25</v>
      </c>
      <c r="U30">
        <v>0.73</v>
      </c>
      <c r="V30">
        <v>0.87</v>
      </c>
      <c r="W30">
        <v>2.99</v>
      </c>
      <c r="X30">
        <v>0.35</v>
      </c>
      <c r="Y30">
        <v>1</v>
      </c>
      <c r="Z30">
        <v>10</v>
      </c>
    </row>
    <row r="31" spans="1:26" x14ac:dyDescent="0.3">
      <c r="A31">
        <v>29</v>
      </c>
      <c r="B31">
        <v>130</v>
      </c>
      <c r="C31" t="s">
        <v>26</v>
      </c>
      <c r="D31">
        <v>5.9588000000000001</v>
      </c>
      <c r="E31">
        <v>16.78</v>
      </c>
      <c r="F31">
        <v>13.1</v>
      </c>
      <c r="G31">
        <v>43.66</v>
      </c>
      <c r="H31">
        <v>0.55000000000000004</v>
      </c>
      <c r="I31">
        <v>18</v>
      </c>
      <c r="J31">
        <v>266.24</v>
      </c>
      <c r="K31">
        <v>59.19</v>
      </c>
      <c r="L31">
        <v>8.25</v>
      </c>
      <c r="M31">
        <v>16</v>
      </c>
      <c r="N31">
        <v>68.8</v>
      </c>
      <c r="O31">
        <v>33070.519999999997</v>
      </c>
      <c r="P31">
        <v>195.52</v>
      </c>
      <c r="Q31">
        <v>988.1</v>
      </c>
      <c r="R31">
        <v>48.38</v>
      </c>
      <c r="S31">
        <v>35.43</v>
      </c>
      <c r="T31">
        <v>5410.16</v>
      </c>
      <c r="U31">
        <v>0.73</v>
      </c>
      <c r="V31">
        <v>0.87</v>
      </c>
      <c r="W31">
        <v>2.99</v>
      </c>
      <c r="X31">
        <v>0.34</v>
      </c>
      <c r="Y31">
        <v>1</v>
      </c>
      <c r="Z31">
        <v>10</v>
      </c>
    </row>
    <row r="32" spans="1:26" x14ac:dyDescent="0.3">
      <c r="A32">
        <v>30</v>
      </c>
      <c r="B32">
        <v>130</v>
      </c>
      <c r="C32" t="s">
        <v>26</v>
      </c>
      <c r="D32">
        <v>5.9589999999999996</v>
      </c>
      <c r="E32">
        <v>16.78</v>
      </c>
      <c r="F32">
        <v>13.1</v>
      </c>
      <c r="G32">
        <v>43.65</v>
      </c>
      <c r="H32">
        <v>0.56999999999999995</v>
      </c>
      <c r="I32">
        <v>18</v>
      </c>
      <c r="J32">
        <v>266.70999999999998</v>
      </c>
      <c r="K32">
        <v>59.19</v>
      </c>
      <c r="L32">
        <v>8.5</v>
      </c>
      <c r="M32">
        <v>16</v>
      </c>
      <c r="N32">
        <v>69.02</v>
      </c>
      <c r="O32">
        <v>33128.699999999997</v>
      </c>
      <c r="P32">
        <v>195.03</v>
      </c>
      <c r="Q32">
        <v>988.17</v>
      </c>
      <c r="R32">
        <v>48.41</v>
      </c>
      <c r="S32">
        <v>35.43</v>
      </c>
      <c r="T32">
        <v>5426.58</v>
      </c>
      <c r="U32">
        <v>0.73</v>
      </c>
      <c r="V32">
        <v>0.87</v>
      </c>
      <c r="W32">
        <v>2.99</v>
      </c>
      <c r="X32">
        <v>0.34</v>
      </c>
      <c r="Y32">
        <v>1</v>
      </c>
      <c r="Z32">
        <v>10</v>
      </c>
    </row>
    <row r="33" spans="1:26" x14ac:dyDescent="0.3">
      <c r="A33">
        <v>31</v>
      </c>
      <c r="B33">
        <v>130</v>
      </c>
      <c r="C33" t="s">
        <v>26</v>
      </c>
      <c r="D33">
        <v>5.9852999999999996</v>
      </c>
      <c r="E33">
        <v>16.71</v>
      </c>
      <c r="F33">
        <v>13.07</v>
      </c>
      <c r="G33">
        <v>46.13</v>
      </c>
      <c r="H33">
        <v>0.57999999999999996</v>
      </c>
      <c r="I33">
        <v>17</v>
      </c>
      <c r="J33">
        <v>267.18</v>
      </c>
      <c r="K33">
        <v>59.19</v>
      </c>
      <c r="L33">
        <v>8.75</v>
      </c>
      <c r="M33">
        <v>15</v>
      </c>
      <c r="N33">
        <v>69.239999999999995</v>
      </c>
      <c r="O33">
        <v>33186.949999999997</v>
      </c>
      <c r="P33">
        <v>192.96</v>
      </c>
      <c r="Q33">
        <v>988.09</v>
      </c>
      <c r="R33">
        <v>47.67</v>
      </c>
      <c r="S33">
        <v>35.43</v>
      </c>
      <c r="T33">
        <v>5058.62</v>
      </c>
      <c r="U33">
        <v>0.74</v>
      </c>
      <c r="V33">
        <v>0.87</v>
      </c>
      <c r="W33">
        <v>2.99</v>
      </c>
      <c r="X33">
        <v>0.32</v>
      </c>
      <c r="Y33">
        <v>1</v>
      </c>
      <c r="Z33">
        <v>10</v>
      </c>
    </row>
    <row r="34" spans="1:26" x14ac:dyDescent="0.3">
      <c r="A34">
        <v>32</v>
      </c>
      <c r="B34">
        <v>130</v>
      </c>
      <c r="C34" t="s">
        <v>26</v>
      </c>
      <c r="D34">
        <v>5.9839000000000002</v>
      </c>
      <c r="E34">
        <v>16.71</v>
      </c>
      <c r="F34">
        <v>13.08</v>
      </c>
      <c r="G34">
        <v>46.15</v>
      </c>
      <c r="H34">
        <v>0.6</v>
      </c>
      <c r="I34">
        <v>17</v>
      </c>
      <c r="J34">
        <v>267.66000000000003</v>
      </c>
      <c r="K34">
        <v>59.19</v>
      </c>
      <c r="L34">
        <v>9</v>
      </c>
      <c r="M34">
        <v>15</v>
      </c>
      <c r="N34">
        <v>69.459999999999994</v>
      </c>
      <c r="O34">
        <v>33245.29</v>
      </c>
      <c r="P34">
        <v>192.56</v>
      </c>
      <c r="Q34">
        <v>988.13</v>
      </c>
      <c r="R34">
        <v>47.67</v>
      </c>
      <c r="S34">
        <v>35.43</v>
      </c>
      <c r="T34">
        <v>5062.83</v>
      </c>
      <c r="U34">
        <v>0.74</v>
      </c>
      <c r="V34">
        <v>0.87</v>
      </c>
      <c r="W34">
        <v>2.99</v>
      </c>
      <c r="X34">
        <v>0.32</v>
      </c>
      <c r="Y34">
        <v>1</v>
      </c>
      <c r="Z34">
        <v>10</v>
      </c>
    </row>
    <row r="35" spans="1:26" x14ac:dyDescent="0.3">
      <c r="A35">
        <v>33</v>
      </c>
      <c r="B35">
        <v>130</v>
      </c>
      <c r="C35" t="s">
        <v>26</v>
      </c>
      <c r="D35">
        <v>6.0113000000000003</v>
      </c>
      <c r="E35">
        <v>16.64</v>
      </c>
      <c r="F35">
        <v>13.05</v>
      </c>
      <c r="G35">
        <v>48.93</v>
      </c>
      <c r="H35">
        <v>0.61</v>
      </c>
      <c r="I35">
        <v>16</v>
      </c>
      <c r="J35">
        <v>268.13</v>
      </c>
      <c r="K35">
        <v>59.19</v>
      </c>
      <c r="L35">
        <v>9.25</v>
      </c>
      <c r="M35">
        <v>14</v>
      </c>
      <c r="N35">
        <v>69.69</v>
      </c>
      <c r="O35">
        <v>33303.72</v>
      </c>
      <c r="P35">
        <v>191.73</v>
      </c>
      <c r="Q35">
        <v>988.1</v>
      </c>
      <c r="R35">
        <v>46.77</v>
      </c>
      <c r="S35">
        <v>35.43</v>
      </c>
      <c r="T35">
        <v>4614</v>
      </c>
      <c r="U35">
        <v>0.76</v>
      </c>
      <c r="V35">
        <v>0.87</v>
      </c>
      <c r="W35">
        <v>2.99</v>
      </c>
      <c r="X35">
        <v>0.28999999999999998</v>
      </c>
      <c r="Y35">
        <v>1</v>
      </c>
      <c r="Z35">
        <v>10</v>
      </c>
    </row>
    <row r="36" spans="1:26" x14ac:dyDescent="0.3">
      <c r="A36">
        <v>34</v>
      </c>
      <c r="B36">
        <v>130</v>
      </c>
      <c r="C36" t="s">
        <v>26</v>
      </c>
      <c r="D36">
        <v>6.0102000000000002</v>
      </c>
      <c r="E36">
        <v>16.64</v>
      </c>
      <c r="F36">
        <v>13.05</v>
      </c>
      <c r="G36">
        <v>48.94</v>
      </c>
      <c r="H36">
        <v>0.63</v>
      </c>
      <c r="I36">
        <v>16</v>
      </c>
      <c r="J36">
        <v>268.61</v>
      </c>
      <c r="K36">
        <v>59.19</v>
      </c>
      <c r="L36">
        <v>9.5</v>
      </c>
      <c r="M36">
        <v>14</v>
      </c>
      <c r="N36">
        <v>69.91</v>
      </c>
      <c r="O36">
        <v>33362.230000000003</v>
      </c>
      <c r="P36">
        <v>191.35</v>
      </c>
      <c r="Q36">
        <v>988.08</v>
      </c>
      <c r="R36">
        <v>47.13</v>
      </c>
      <c r="S36">
        <v>35.43</v>
      </c>
      <c r="T36">
        <v>4794.72</v>
      </c>
      <c r="U36">
        <v>0.75</v>
      </c>
      <c r="V36">
        <v>0.87</v>
      </c>
      <c r="W36">
        <v>2.99</v>
      </c>
      <c r="X36">
        <v>0.3</v>
      </c>
      <c r="Y36">
        <v>1</v>
      </c>
      <c r="Z36">
        <v>10</v>
      </c>
    </row>
    <row r="37" spans="1:26" x14ac:dyDescent="0.3">
      <c r="A37">
        <v>35</v>
      </c>
      <c r="B37">
        <v>130</v>
      </c>
      <c r="C37" t="s">
        <v>26</v>
      </c>
      <c r="D37">
        <v>6.0328999999999997</v>
      </c>
      <c r="E37">
        <v>16.579999999999998</v>
      </c>
      <c r="F37">
        <v>13.04</v>
      </c>
      <c r="G37">
        <v>52.15</v>
      </c>
      <c r="H37">
        <v>0.64</v>
      </c>
      <c r="I37">
        <v>15</v>
      </c>
      <c r="J37">
        <v>269.08</v>
      </c>
      <c r="K37">
        <v>59.19</v>
      </c>
      <c r="L37">
        <v>9.75</v>
      </c>
      <c r="M37">
        <v>13</v>
      </c>
      <c r="N37">
        <v>70.14</v>
      </c>
      <c r="O37">
        <v>33420.83</v>
      </c>
      <c r="P37">
        <v>189.98</v>
      </c>
      <c r="Q37">
        <v>988.12</v>
      </c>
      <c r="R37">
        <v>46.68</v>
      </c>
      <c r="S37">
        <v>35.43</v>
      </c>
      <c r="T37">
        <v>4578.09</v>
      </c>
      <c r="U37">
        <v>0.76</v>
      </c>
      <c r="V37">
        <v>0.87</v>
      </c>
      <c r="W37">
        <v>2.99</v>
      </c>
      <c r="X37">
        <v>0.28000000000000003</v>
      </c>
      <c r="Y37">
        <v>1</v>
      </c>
      <c r="Z37">
        <v>10</v>
      </c>
    </row>
    <row r="38" spans="1:26" x14ac:dyDescent="0.3">
      <c r="A38">
        <v>36</v>
      </c>
      <c r="B38">
        <v>130</v>
      </c>
      <c r="C38" t="s">
        <v>26</v>
      </c>
      <c r="D38">
        <v>6.0345000000000004</v>
      </c>
      <c r="E38">
        <v>16.57</v>
      </c>
      <c r="F38">
        <v>13.03</v>
      </c>
      <c r="G38">
        <v>52.13</v>
      </c>
      <c r="H38">
        <v>0.66</v>
      </c>
      <c r="I38">
        <v>15</v>
      </c>
      <c r="J38">
        <v>269.56</v>
      </c>
      <c r="K38">
        <v>59.19</v>
      </c>
      <c r="L38">
        <v>10</v>
      </c>
      <c r="M38">
        <v>13</v>
      </c>
      <c r="N38">
        <v>70.36</v>
      </c>
      <c r="O38">
        <v>33479.51</v>
      </c>
      <c r="P38">
        <v>189.43</v>
      </c>
      <c r="Q38">
        <v>988.13</v>
      </c>
      <c r="R38">
        <v>46.5</v>
      </c>
      <c r="S38">
        <v>35.43</v>
      </c>
      <c r="T38">
        <v>4486.8500000000004</v>
      </c>
      <c r="U38">
        <v>0.76</v>
      </c>
      <c r="V38">
        <v>0.87</v>
      </c>
      <c r="W38">
        <v>2.99</v>
      </c>
      <c r="X38">
        <v>0.28000000000000003</v>
      </c>
      <c r="Y38">
        <v>1</v>
      </c>
      <c r="Z38">
        <v>10</v>
      </c>
    </row>
    <row r="39" spans="1:26" x14ac:dyDescent="0.3">
      <c r="A39">
        <v>37</v>
      </c>
      <c r="B39">
        <v>130</v>
      </c>
      <c r="C39" t="s">
        <v>26</v>
      </c>
      <c r="D39">
        <v>6.032</v>
      </c>
      <c r="E39">
        <v>16.579999999999998</v>
      </c>
      <c r="F39">
        <v>13.04</v>
      </c>
      <c r="G39">
        <v>52.16</v>
      </c>
      <c r="H39">
        <v>0.68</v>
      </c>
      <c r="I39">
        <v>15</v>
      </c>
      <c r="J39">
        <v>270.02999999999997</v>
      </c>
      <c r="K39">
        <v>59.19</v>
      </c>
      <c r="L39">
        <v>10.25</v>
      </c>
      <c r="M39">
        <v>13</v>
      </c>
      <c r="N39">
        <v>70.59</v>
      </c>
      <c r="O39">
        <v>33538.28</v>
      </c>
      <c r="P39">
        <v>188.73</v>
      </c>
      <c r="Q39">
        <v>988.1</v>
      </c>
      <c r="R39">
        <v>46.54</v>
      </c>
      <c r="S39">
        <v>35.43</v>
      </c>
      <c r="T39">
        <v>4505.04</v>
      </c>
      <c r="U39">
        <v>0.76</v>
      </c>
      <c r="V39">
        <v>0.87</v>
      </c>
      <c r="W39">
        <v>2.99</v>
      </c>
      <c r="X39">
        <v>0.28999999999999998</v>
      </c>
      <c r="Y39">
        <v>1</v>
      </c>
      <c r="Z39">
        <v>10</v>
      </c>
    </row>
    <row r="40" spans="1:26" x14ac:dyDescent="0.3">
      <c r="A40">
        <v>38</v>
      </c>
      <c r="B40">
        <v>130</v>
      </c>
      <c r="C40" t="s">
        <v>26</v>
      </c>
      <c r="D40">
        <v>6.0608000000000004</v>
      </c>
      <c r="E40">
        <v>16.5</v>
      </c>
      <c r="F40">
        <v>13.01</v>
      </c>
      <c r="G40">
        <v>55.76</v>
      </c>
      <c r="H40">
        <v>0.69</v>
      </c>
      <c r="I40">
        <v>14</v>
      </c>
      <c r="J40">
        <v>270.51</v>
      </c>
      <c r="K40">
        <v>59.19</v>
      </c>
      <c r="L40">
        <v>10.5</v>
      </c>
      <c r="M40">
        <v>12</v>
      </c>
      <c r="N40">
        <v>70.819999999999993</v>
      </c>
      <c r="O40">
        <v>33597.14</v>
      </c>
      <c r="P40">
        <v>187.53</v>
      </c>
      <c r="Q40">
        <v>988.16</v>
      </c>
      <c r="R40">
        <v>45.59</v>
      </c>
      <c r="S40">
        <v>35.43</v>
      </c>
      <c r="T40">
        <v>4036.03</v>
      </c>
      <c r="U40">
        <v>0.78</v>
      </c>
      <c r="V40">
        <v>0.88</v>
      </c>
      <c r="W40">
        <v>2.99</v>
      </c>
      <c r="X40">
        <v>0.26</v>
      </c>
      <c r="Y40">
        <v>1</v>
      </c>
      <c r="Z40">
        <v>10</v>
      </c>
    </row>
    <row r="41" spans="1:26" x14ac:dyDescent="0.3">
      <c r="A41">
        <v>39</v>
      </c>
      <c r="B41">
        <v>130</v>
      </c>
      <c r="C41" t="s">
        <v>26</v>
      </c>
      <c r="D41">
        <v>6.0624000000000002</v>
      </c>
      <c r="E41">
        <v>16.5</v>
      </c>
      <c r="F41">
        <v>13.01</v>
      </c>
      <c r="G41">
        <v>55.74</v>
      </c>
      <c r="H41">
        <v>0.71</v>
      </c>
      <c r="I41">
        <v>14</v>
      </c>
      <c r="J41">
        <v>270.99</v>
      </c>
      <c r="K41">
        <v>59.19</v>
      </c>
      <c r="L41">
        <v>10.75</v>
      </c>
      <c r="M41">
        <v>12</v>
      </c>
      <c r="N41">
        <v>71.040000000000006</v>
      </c>
      <c r="O41">
        <v>33656.080000000002</v>
      </c>
      <c r="P41">
        <v>187.06</v>
      </c>
      <c r="Q41">
        <v>988.15</v>
      </c>
      <c r="R41">
        <v>45.57</v>
      </c>
      <c r="S41">
        <v>35.43</v>
      </c>
      <c r="T41">
        <v>4027.18</v>
      </c>
      <c r="U41">
        <v>0.78</v>
      </c>
      <c r="V41">
        <v>0.88</v>
      </c>
      <c r="W41">
        <v>2.99</v>
      </c>
      <c r="X41">
        <v>0.25</v>
      </c>
      <c r="Y41">
        <v>1</v>
      </c>
      <c r="Z41">
        <v>10</v>
      </c>
    </row>
    <row r="42" spans="1:26" x14ac:dyDescent="0.3">
      <c r="A42">
        <v>40</v>
      </c>
      <c r="B42">
        <v>130</v>
      </c>
      <c r="C42" t="s">
        <v>26</v>
      </c>
      <c r="D42">
        <v>6.0656999999999996</v>
      </c>
      <c r="E42">
        <v>16.489999999999998</v>
      </c>
      <c r="F42">
        <v>13</v>
      </c>
      <c r="G42">
        <v>55.7</v>
      </c>
      <c r="H42">
        <v>0.72</v>
      </c>
      <c r="I42">
        <v>14</v>
      </c>
      <c r="J42">
        <v>271.47000000000003</v>
      </c>
      <c r="K42">
        <v>59.19</v>
      </c>
      <c r="L42">
        <v>11</v>
      </c>
      <c r="M42">
        <v>12</v>
      </c>
      <c r="N42">
        <v>71.27</v>
      </c>
      <c r="O42">
        <v>33715.11</v>
      </c>
      <c r="P42">
        <v>185.02</v>
      </c>
      <c r="Q42">
        <v>988.09</v>
      </c>
      <c r="R42">
        <v>45.44</v>
      </c>
      <c r="S42">
        <v>35.43</v>
      </c>
      <c r="T42">
        <v>3962.15</v>
      </c>
      <c r="U42">
        <v>0.78</v>
      </c>
      <c r="V42">
        <v>0.88</v>
      </c>
      <c r="W42">
        <v>2.98</v>
      </c>
      <c r="X42">
        <v>0.24</v>
      </c>
      <c r="Y42">
        <v>1</v>
      </c>
      <c r="Z42">
        <v>10</v>
      </c>
    </row>
    <row r="43" spans="1:26" x14ac:dyDescent="0.3">
      <c r="A43">
        <v>41</v>
      </c>
      <c r="B43">
        <v>130</v>
      </c>
      <c r="C43" t="s">
        <v>26</v>
      </c>
      <c r="D43">
        <v>6.0838999999999999</v>
      </c>
      <c r="E43">
        <v>16.440000000000001</v>
      </c>
      <c r="F43">
        <v>13</v>
      </c>
      <c r="G43">
        <v>59.98</v>
      </c>
      <c r="H43">
        <v>0.74</v>
      </c>
      <c r="I43">
        <v>13</v>
      </c>
      <c r="J43">
        <v>271.95</v>
      </c>
      <c r="K43">
        <v>59.19</v>
      </c>
      <c r="L43">
        <v>11.25</v>
      </c>
      <c r="M43">
        <v>11</v>
      </c>
      <c r="N43">
        <v>71.5</v>
      </c>
      <c r="O43">
        <v>33774.230000000003</v>
      </c>
      <c r="P43">
        <v>184.81</v>
      </c>
      <c r="Q43">
        <v>988.08</v>
      </c>
      <c r="R43">
        <v>45.26</v>
      </c>
      <c r="S43">
        <v>35.43</v>
      </c>
      <c r="T43">
        <v>3876.26</v>
      </c>
      <c r="U43">
        <v>0.78</v>
      </c>
      <c r="V43">
        <v>0.88</v>
      </c>
      <c r="W43">
        <v>2.99</v>
      </c>
      <c r="X43">
        <v>0.24</v>
      </c>
      <c r="Y43">
        <v>1</v>
      </c>
      <c r="Z43">
        <v>10</v>
      </c>
    </row>
    <row r="44" spans="1:26" x14ac:dyDescent="0.3">
      <c r="A44">
        <v>42</v>
      </c>
      <c r="B44">
        <v>130</v>
      </c>
      <c r="C44" t="s">
        <v>26</v>
      </c>
      <c r="D44">
        <v>6.0853000000000002</v>
      </c>
      <c r="E44">
        <v>16.43</v>
      </c>
      <c r="F44">
        <v>12.99</v>
      </c>
      <c r="G44">
        <v>59.97</v>
      </c>
      <c r="H44">
        <v>0.75</v>
      </c>
      <c r="I44">
        <v>13</v>
      </c>
      <c r="J44">
        <v>272.43</v>
      </c>
      <c r="K44">
        <v>59.19</v>
      </c>
      <c r="L44">
        <v>11.5</v>
      </c>
      <c r="M44">
        <v>11</v>
      </c>
      <c r="N44">
        <v>71.73</v>
      </c>
      <c r="O44">
        <v>33833.57</v>
      </c>
      <c r="P44">
        <v>184.21</v>
      </c>
      <c r="Q44">
        <v>988.09</v>
      </c>
      <c r="R44">
        <v>45.13</v>
      </c>
      <c r="S44">
        <v>35.43</v>
      </c>
      <c r="T44">
        <v>3812.7</v>
      </c>
      <c r="U44">
        <v>0.79</v>
      </c>
      <c r="V44">
        <v>0.88</v>
      </c>
      <c r="W44">
        <v>2.99</v>
      </c>
      <c r="X44">
        <v>0.24</v>
      </c>
      <c r="Y44">
        <v>1</v>
      </c>
      <c r="Z44">
        <v>10</v>
      </c>
    </row>
    <row r="45" spans="1:26" x14ac:dyDescent="0.3">
      <c r="A45">
        <v>43</v>
      </c>
      <c r="B45">
        <v>130</v>
      </c>
      <c r="C45" t="s">
        <v>26</v>
      </c>
      <c r="D45">
        <v>6.0876999999999999</v>
      </c>
      <c r="E45">
        <v>16.43</v>
      </c>
      <c r="F45">
        <v>12.99</v>
      </c>
      <c r="G45">
        <v>59.94</v>
      </c>
      <c r="H45">
        <v>0.77</v>
      </c>
      <c r="I45">
        <v>13</v>
      </c>
      <c r="J45">
        <v>272.91000000000003</v>
      </c>
      <c r="K45">
        <v>59.19</v>
      </c>
      <c r="L45">
        <v>11.75</v>
      </c>
      <c r="M45">
        <v>11</v>
      </c>
      <c r="N45">
        <v>71.959999999999994</v>
      </c>
      <c r="O45">
        <v>33892.870000000003</v>
      </c>
      <c r="P45">
        <v>182.78</v>
      </c>
      <c r="Q45">
        <v>988.1</v>
      </c>
      <c r="R45">
        <v>44.84</v>
      </c>
      <c r="S45">
        <v>35.43</v>
      </c>
      <c r="T45">
        <v>3664.47</v>
      </c>
      <c r="U45">
        <v>0.79</v>
      </c>
      <c r="V45">
        <v>0.88</v>
      </c>
      <c r="W45">
        <v>2.99</v>
      </c>
      <c r="X45">
        <v>0.23</v>
      </c>
      <c r="Y45">
        <v>1</v>
      </c>
      <c r="Z45">
        <v>10</v>
      </c>
    </row>
    <row r="46" spans="1:26" x14ac:dyDescent="0.3">
      <c r="A46">
        <v>44</v>
      </c>
      <c r="B46">
        <v>130</v>
      </c>
      <c r="C46" t="s">
        <v>26</v>
      </c>
      <c r="D46">
        <v>6.1116999999999999</v>
      </c>
      <c r="E46">
        <v>16.36</v>
      </c>
      <c r="F46">
        <v>12.97</v>
      </c>
      <c r="G46">
        <v>64.849999999999994</v>
      </c>
      <c r="H46">
        <v>0.78</v>
      </c>
      <c r="I46">
        <v>12</v>
      </c>
      <c r="J46">
        <v>273.39</v>
      </c>
      <c r="K46">
        <v>59.19</v>
      </c>
      <c r="L46">
        <v>12</v>
      </c>
      <c r="M46">
        <v>10</v>
      </c>
      <c r="N46">
        <v>72.2</v>
      </c>
      <c r="O46">
        <v>33952.26</v>
      </c>
      <c r="P46">
        <v>181.55</v>
      </c>
      <c r="Q46">
        <v>988.16</v>
      </c>
      <c r="R46">
        <v>44.35</v>
      </c>
      <c r="S46">
        <v>35.43</v>
      </c>
      <c r="T46">
        <v>3427.84</v>
      </c>
      <c r="U46">
        <v>0.8</v>
      </c>
      <c r="V46">
        <v>0.88</v>
      </c>
      <c r="W46">
        <v>2.99</v>
      </c>
      <c r="X46">
        <v>0.22</v>
      </c>
      <c r="Y46">
        <v>1</v>
      </c>
      <c r="Z46">
        <v>10</v>
      </c>
    </row>
    <row r="47" spans="1:26" x14ac:dyDescent="0.3">
      <c r="A47">
        <v>45</v>
      </c>
      <c r="B47">
        <v>130</v>
      </c>
      <c r="C47" t="s">
        <v>26</v>
      </c>
      <c r="D47">
        <v>6.1113</v>
      </c>
      <c r="E47">
        <v>16.36</v>
      </c>
      <c r="F47">
        <v>12.97</v>
      </c>
      <c r="G47">
        <v>64.86</v>
      </c>
      <c r="H47">
        <v>0.8</v>
      </c>
      <c r="I47">
        <v>12</v>
      </c>
      <c r="J47">
        <v>273.87</v>
      </c>
      <c r="K47">
        <v>59.19</v>
      </c>
      <c r="L47">
        <v>12.25</v>
      </c>
      <c r="M47">
        <v>10</v>
      </c>
      <c r="N47">
        <v>72.430000000000007</v>
      </c>
      <c r="O47">
        <v>34011.74</v>
      </c>
      <c r="P47">
        <v>181.09</v>
      </c>
      <c r="Q47">
        <v>988.09</v>
      </c>
      <c r="R47">
        <v>44.61</v>
      </c>
      <c r="S47">
        <v>35.43</v>
      </c>
      <c r="T47">
        <v>3555.8</v>
      </c>
      <c r="U47">
        <v>0.79</v>
      </c>
      <c r="V47">
        <v>0.88</v>
      </c>
      <c r="W47">
        <v>2.98</v>
      </c>
      <c r="X47">
        <v>0.22</v>
      </c>
      <c r="Y47">
        <v>1</v>
      </c>
      <c r="Z47">
        <v>10</v>
      </c>
    </row>
    <row r="48" spans="1:26" x14ac:dyDescent="0.3">
      <c r="A48">
        <v>46</v>
      </c>
      <c r="B48">
        <v>130</v>
      </c>
      <c r="C48" t="s">
        <v>26</v>
      </c>
      <c r="D48">
        <v>6.1151</v>
      </c>
      <c r="E48">
        <v>16.350000000000001</v>
      </c>
      <c r="F48">
        <v>12.96</v>
      </c>
      <c r="G48">
        <v>64.81</v>
      </c>
      <c r="H48">
        <v>0.81</v>
      </c>
      <c r="I48">
        <v>12</v>
      </c>
      <c r="J48">
        <v>274.35000000000002</v>
      </c>
      <c r="K48">
        <v>59.19</v>
      </c>
      <c r="L48">
        <v>12.5</v>
      </c>
      <c r="M48">
        <v>10</v>
      </c>
      <c r="N48">
        <v>72.66</v>
      </c>
      <c r="O48">
        <v>34071.31</v>
      </c>
      <c r="P48">
        <v>180.33</v>
      </c>
      <c r="Q48">
        <v>988.08</v>
      </c>
      <c r="R48">
        <v>44.17</v>
      </c>
      <c r="S48">
        <v>35.43</v>
      </c>
      <c r="T48">
        <v>3335.73</v>
      </c>
      <c r="U48">
        <v>0.8</v>
      </c>
      <c r="V48">
        <v>0.88</v>
      </c>
      <c r="W48">
        <v>2.98</v>
      </c>
      <c r="X48">
        <v>0.21</v>
      </c>
      <c r="Y48">
        <v>1</v>
      </c>
      <c r="Z48">
        <v>10</v>
      </c>
    </row>
    <row r="49" spans="1:26" x14ac:dyDescent="0.3">
      <c r="A49">
        <v>47</v>
      </c>
      <c r="B49">
        <v>130</v>
      </c>
      <c r="C49" t="s">
        <v>26</v>
      </c>
      <c r="D49">
        <v>6.1131000000000002</v>
      </c>
      <c r="E49">
        <v>16.36</v>
      </c>
      <c r="F49">
        <v>12.97</v>
      </c>
      <c r="G49">
        <v>64.83</v>
      </c>
      <c r="H49">
        <v>0.83</v>
      </c>
      <c r="I49">
        <v>12</v>
      </c>
      <c r="J49">
        <v>274.83999999999997</v>
      </c>
      <c r="K49">
        <v>59.19</v>
      </c>
      <c r="L49">
        <v>12.75</v>
      </c>
      <c r="M49">
        <v>10</v>
      </c>
      <c r="N49">
        <v>72.89</v>
      </c>
      <c r="O49">
        <v>34130.980000000003</v>
      </c>
      <c r="P49">
        <v>179.41</v>
      </c>
      <c r="Q49">
        <v>988.26</v>
      </c>
      <c r="R49">
        <v>44.31</v>
      </c>
      <c r="S49">
        <v>35.43</v>
      </c>
      <c r="T49">
        <v>3403.59</v>
      </c>
      <c r="U49">
        <v>0.8</v>
      </c>
      <c r="V49">
        <v>0.88</v>
      </c>
      <c r="W49">
        <v>2.98</v>
      </c>
      <c r="X49">
        <v>0.21</v>
      </c>
      <c r="Y49">
        <v>1</v>
      </c>
      <c r="Z49">
        <v>10</v>
      </c>
    </row>
    <row r="50" spans="1:26" x14ac:dyDescent="0.3">
      <c r="A50">
        <v>48</v>
      </c>
      <c r="B50">
        <v>130</v>
      </c>
      <c r="C50" t="s">
        <v>26</v>
      </c>
      <c r="D50">
        <v>6.1349</v>
      </c>
      <c r="E50">
        <v>16.3</v>
      </c>
      <c r="F50">
        <v>12.96</v>
      </c>
      <c r="G50">
        <v>70.680000000000007</v>
      </c>
      <c r="H50">
        <v>0.84</v>
      </c>
      <c r="I50">
        <v>11</v>
      </c>
      <c r="J50">
        <v>275.32</v>
      </c>
      <c r="K50">
        <v>59.19</v>
      </c>
      <c r="L50">
        <v>13</v>
      </c>
      <c r="M50">
        <v>9</v>
      </c>
      <c r="N50">
        <v>73.13</v>
      </c>
      <c r="O50">
        <v>34190.730000000003</v>
      </c>
      <c r="P50">
        <v>178.59</v>
      </c>
      <c r="Q50">
        <v>988.08</v>
      </c>
      <c r="R50">
        <v>44.19</v>
      </c>
      <c r="S50">
        <v>35.43</v>
      </c>
      <c r="T50">
        <v>3350.37</v>
      </c>
      <c r="U50">
        <v>0.8</v>
      </c>
      <c r="V50">
        <v>0.88</v>
      </c>
      <c r="W50">
        <v>2.98</v>
      </c>
      <c r="X50">
        <v>0.2</v>
      </c>
      <c r="Y50">
        <v>1</v>
      </c>
      <c r="Z50">
        <v>10</v>
      </c>
    </row>
    <row r="51" spans="1:26" x14ac:dyDescent="0.3">
      <c r="A51">
        <v>49</v>
      </c>
      <c r="B51">
        <v>130</v>
      </c>
      <c r="C51" t="s">
        <v>26</v>
      </c>
      <c r="D51">
        <v>6.1375000000000002</v>
      </c>
      <c r="E51">
        <v>16.29</v>
      </c>
      <c r="F51">
        <v>12.95</v>
      </c>
      <c r="G51">
        <v>70.64</v>
      </c>
      <c r="H51">
        <v>0.86</v>
      </c>
      <c r="I51">
        <v>11</v>
      </c>
      <c r="J51">
        <v>275.81</v>
      </c>
      <c r="K51">
        <v>59.19</v>
      </c>
      <c r="L51">
        <v>13.25</v>
      </c>
      <c r="M51">
        <v>9</v>
      </c>
      <c r="N51">
        <v>73.36</v>
      </c>
      <c r="O51">
        <v>34250.57</v>
      </c>
      <c r="P51">
        <v>178.01</v>
      </c>
      <c r="Q51">
        <v>988.15</v>
      </c>
      <c r="R51">
        <v>43.78</v>
      </c>
      <c r="S51">
        <v>35.43</v>
      </c>
      <c r="T51">
        <v>3148.05</v>
      </c>
      <c r="U51">
        <v>0.81</v>
      </c>
      <c r="V51">
        <v>0.88</v>
      </c>
      <c r="W51">
        <v>2.98</v>
      </c>
      <c r="X51">
        <v>0.2</v>
      </c>
      <c r="Y51">
        <v>1</v>
      </c>
      <c r="Z51">
        <v>10</v>
      </c>
    </row>
    <row r="52" spans="1:26" x14ac:dyDescent="0.3">
      <c r="A52">
        <v>50</v>
      </c>
      <c r="B52">
        <v>130</v>
      </c>
      <c r="C52" t="s">
        <v>26</v>
      </c>
      <c r="D52">
        <v>6.1360000000000001</v>
      </c>
      <c r="E52">
        <v>16.3</v>
      </c>
      <c r="F52">
        <v>12.95</v>
      </c>
      <c r="G52">
        <v>70.66</v>
      </c>
      <c r="H52">
        <v>0.87</v>
      </c>
      <c r="I52">
        <v>11</v>
      </c>
      <c r="J52">
        <v>276.29000000000002</v>
      </c>
      <c r="K52">
        <v>59.19</v>
      </c>
      <c r="L52">
        <v>13.5</v>
      </c>
      <c r="M52">
        <v>9</v>
      </c>
      <c r="N52">
        <v>73.599999999999994</v>
      </c>
      <c r="O52">
        <v>34310.51</v>
      </c>
      <c r="P52">
        <v>177.06</v>
      </c>
      <c r="Q52">
        <v>988.19</v>
      </c>
      <c r="R52">
        <v>43.92</v>
      </c>
      <c r="S52">
        <v>35.43</v>
      </c>
      <c r="T52">
        <v>3217.15</v>
      </c>
      <c r="U52">
        <v>0.81</v>
      </c>
      <c r="V52">
        <v>0.88</v>
      </c>
      <c r="W52">
        <v>2.98</v>
      </c>
      <c r="X52">
        <v>0.2</v>
      </c>
      <c r="Y52">
        <v>1</v>
      </c>
      <c r="Z52">
        <v>10</v>
      </c>
    </row>
    <row r="53" spans="1:26" x14ac:dyDescent="0.3">
      <c r="A53">
        <v>51</v>
      </c>
      <c r="B53">
        <v>130</v>
      </c>
      <c r="C53" t="s">
        <v>26</v>
      </c>
      <c r="D53">
        <v>6.1394000000000002</v>
      </c>
      <c r="E53">
        <v>16.29</v>
      </c>
      <c r="F53">
        <v>12.95</v>
      </c>
      <c r="G53">
        <v>70.61</v>
      </c>
      <c r="H53">
        <v>0.88</v>
      </c>
      <c r="I53">
        <v>11</v>
      </c>
      <c r="J53">
        <v>276.77999999999997</v>
      </c>
      <c r="K53">
        <v>59.19</v>
      </c>
      <c r="L53">
        <v>13.75</v>
      </c>
      <c r="M53">
        <v>9</v>
      </c>
      <c r="N53">
        <v>73.84</v>
      </c>
      <c r="O53">
        <v>34370.54</v>
      </c>
      <c r="P53">
        <v>174.85</v>
      </c>
      <c r="Q53">
        <v>988.1</v>
      </c>
      <c r="R53">
        <v>43.82</v>
      </c>
      <c r="S53">
        <v>35.43</v>
      </c>
      <c r="T53">
        <v>3164.2</v>
      </c>
      <c r="U53">
        <v>0.81</v>
      </c>
      <c r="V53">
        <v>0.88</v>
      </c>
      <c r="W53">
        <v>2.98</v>
      </c>
      <c r="X53">
        <v>0.19</v>
      </c>
      <c r="Y53">
        <v>1</v>
      </c>
      <c r="Z53">
        <v>10</v>
      </c>
    </row>
    <row r="54" spans="1:26" x14ac:dyDescent="0.3">
      <c r="A54">
        <v>52</v>
      </c>
      <c r="B54">
        <v>130</v>
      </c>
      <c r="C54" t="s">
        <v>26</v>
      </c>
      <c r="D54">
        <v>6.1646999999999998</v>
      </c>
      <c r="E54">
        <v>16.22</v>
      </c>
      <c r="F54">
        <v>12.93</v>
      </c>
      <c r="G54">
        <v>77.56</v>
      </c>
      <c r="H54">
        <v>0.9</v>
      </c>
      <c r="I54">
        <v>10</v>
      </c>
      <c r="J54">
        <v>277.27</v>
      </c>
      <c r="K54">
        <v>59.19</v>
      </c>
      <c r="L54">
        <v>14</v>
      </c>
      <c r="M54">
        <v>8</v>
      </c>
      <c r="N54">
        <v>74.069999999999993</v>
      </c>
      <c r="O54">
        <v>34430.660000000003</v>
      </c>
      <c r="P54">
        <v>173.84</v>
      </c>
      <c r="Q54">
        <v>988.08</v>
      </c>
      <c r="R54">
        <v>43.09</v>
      </c>
      <c r="S54">
        <v>35.43</v>
      </c>
      <c r="T54">
        <v>2808.03</v>
      </c>
      <c r="U54">
        <v>0.82</v>
      </c>
      <c r="V54">
        <v>0.88</v>
      </c>
      <c r="W54">
        <v>2.98</v>
      </c>
      <c r="X54">
        <v>0.17</v>
      </c>
      <c r="Y54">
        <v>1</v>
      </c>
      <c r="Z54">
        <v>10</v>
      </c>
    </row>
    <row r="55" spans="1:26" x14ac:dyDescent="0.3">
      <c r="A55">
        <v>53</v>
      </c>
      <c r="B55">
        <v>130</v>
      </c>
      <c r="C55" t="s">
        <v>26</v>
      </c>
      <c r="D55">
        <v>6.1653000000000002</v>
      </c>
      <c r="E55">
        <v>16.22</v>
      </c>
      <c r="F55">
        <v>12.93</v>
      </c>
      <c r="G55">
        <v>77.56</v>
      </c>
      <c r="H55">
        <v>0.91</v>
      </c>
      <c r="I55">
        <v>10</v>
      </c>
      <c r="J55">
        <v>277.76</v>
      </c>
      <c r="K55">
        <v>59.19</v>
      </c>
      <c r="L55">
        <v>14.25</v>
      </c>
      <c r="M55">
        <v>8</v>
      </c>
      <c r="N55">
        <v>74.31</v>
      </c>
      <c r="O55">
        <v>34490.870000000003</v>
      </c>
      <c r="P55">
        <v>172.63</v>
      </c>
      <c r="Q55">
        <v>988.08</v>
      </c>
      <c r="R55">
        <v>43.04</v>
      </c>
      <c r="S55">
        <v>35.43</v>
      </c>
      <c r="T55">
        <v>2780.88</v>
      </c>
      <c r="U55">
        <v>0.82</v>
      </c>
      <c r="V55">
        <v>0.88</v>
      </c>
      <c r="W55">
        <v>2.98</v>
      </c>
      <c r="X55">
        <v>0.17</v>
      </c>
      <c r="Y55">
        <v>1</v>
      </c>
      <c r="Z55">
        <v>10</v>
      </c>
    </row>
    <row r="56" spans="1:26" x14ac:dyDescent="0.3">
      <c r="A56">
        <v>54</v>
      </c>
      <c r="B56">
        <v>130</v>
      </c>
      <c r="C56" t="s">
        <v>26</v>
      </c>
      <c r="D56">
        <v>6.1616</v>
      </c>
      <c r="E56">
        <v>16.23</v>
      </c>
      <c r="F56">
        <v>12.94</v>
      </c>
      <c r="G56">
        <v>77.61</v>
      </c>
      <c r="H56">
        <v>0.93</v>
      </c>
      <c r="I56">
        <v>10</v>
      </c>
      <c r="J56">
        <v>278.25</v>
      </c>
      <c r="K56">
        <v>59.19</v>
      </c>
      <c r="L56">
        <v>14.5</v>
      </c>
      <c r="M56">
        <v>8</v>
      </c>
      <c r="N56">
        <v>74.55</v>
      </c>
      <c r="O56">
        <v>34551.18</v>
      </c>
      <c r="P56">
        <v>172.3</v>
      </c>
      <c r="Q56">
        <v>988.08</v>
      </c>
      <c r="R56">
        <v>43.36</v>
      </c>
      <c r="S56">
        <v>35.43</v>
      </c>
      <c r="T56">
        <v>2941.41</v>
      </c>
      <c r="U56">
        <v>0.82</v>
      </c>
      <c r="V56">
        <v>0.88</v>
      </c>
      <c r="W56">
        <v>2.98</v>
      </c>
      <c r="X56">
        <v>0.18</v>
      </c>
      <c r="Y56">
        <v>1</v>
      </c>
      <c r="Z56">
        <v>10</v>
      </c>
    </row>
    <row r="57" spans="1:26" x14ac:dyDescent="0.3">
      <c r="A57">
        <v>55</v>
      </c>
      <c r="B57">
        <v>130</v>
      </c>
      <c r="C57" t="s">
        <v>26</v>
      </c>
      <c r="D57">
        <v>6.1634000000000002</v>
      </c>
      <c r="E57">
        <v>16.22</v>
      </c>
      <c r="F57">
        <v>12.93</v>
      </c>
      <c r="G57">
        <v>77.59</v>
      </c>
      <c r="H57">
        <v>0.94</v>
      </c>
      <c r="I57">
        <v>10</v>
      </c>
      <c r="J57">
        <v>278.74</v>
      </c>
      <c r="K57">
        <v>59.19</v>
      </c>
      <c r="L57">
        <v>14.75</v>
      </c>
      <c r="M57">
        <v>8</v>
      </c>
      <c r="N57">
        <v>74.790000000000006</v>
      </c>
      <c r="O57">
        <v>34611.589999999997</v>
      </c>
      <c r="P57">
        <v>171.46</v>
      </c>
      <c r="Q57">
        <v>988.12</v>
      </c>
      <c r="R57">
        <v>43.23</v>
      </c>
      <c r="S57">
        <v>35.43</v>
      </c>
      <c r="T57">
        <v>2874.64</v>
      </c>
      <c r="U57">
        <v>0.82</v>
      </c>
      <c r="V57">
        <v>0.88</v>
      </c>
      <c r="W57">
        <v>2.98</v>
      </c>
      <c r="X57">
        <v>0.18</v>
      </c>
      <c r="Y57">
        <v>1</v>
      </c>
      <c r="Z57">
        <v>10</v>
      </c>
    </row>
    <row r="58" spans="1:26" x14ac:dyDescent="0.3">
      <c r="A58">
        <v>56</v>
      </c>
      <c r="B58">
        <v>130</v>
      </c>
      <c r="C58" t="s">
        <v>26</v>
      </c>
      <c r="D58">
        <v>6.1641000000000004</v>
      </c>
      <c r="E58">
        <v>16.22</v>
      </c>
      <c r="F58">
        <v>12.93</v>
      </c>
      <c r="G58">
        <v>77.58</v>
      </c>
      <c r="H58">
        <v>0.96</v>
      </c>
      <c r="I58">
        <v>10</v>
      </c>
      <c r="J58">
        <v>279.23</v>
      </c>
      <c r="K58">
        <v>59.19</v>
      </c>
      <c r="L58">
        <v>15</v>
      </c>
      <c r="M58">
        <v>6</v>
      </c>
      <c r="N58">
        <v>75.03</v>
      </c>
      <c r="O58">
        <v>34672.080000000002</v>
      </c>
      <c r="P58">
        <v>170.64</v>
      </c>
      <c r="Q58">
        <v>988.08</v>
      </c>
      <c r="R58">
        <v>43.14</v>
      </c>
      <c r="S58">
        <v>35.43</v>
      </c>
      <c r="T58">
        <v>2833.23</v>
      </c>
      <c r="U58">
        <v>0.82</v>
      </c>
      <c r="V58">
        <v>0.88</v>
      </c>
      <c r="W58">
        <v>2.98</v>
      </c>
      <c r="X58">
        <v>0.18</v>
      </c>
      <c r="Y58">
        <v>1</v>
      </c>
      <c r="Z58">
        <v>10</v>
      </c>
    </row>
    <row r="59" spans="1:26" x14ac:dyDescent="0.3">
      <c r="A59">
        <v>57</v>
      </c>
      <c r="B59">
        <v>130</v>
      </c>
      <c r="C59" t="s">
        <v>26</v>
      </c>
      <c r="D59">
        <v>6.1858000000000004</v>
      </c>
      <c r="E59">
        <v>16.170000000000002</v>
      </c>
      <c r="F59">
        <v>12.92</v>
      </c>
      <c r="G59">
        <v>86.14</v>
      </c>
      <c r="H59">
        <v>0.97</v>
      </c>
      <c r="I59">
        <v>9</v>
      </c>
      <c r="J59">
        <v>279.72000000000003</v>
      </c>
      <c r="K59">
        <v>59.19</v>
      </c>
      <c r="L59">
        <v>15.25</v>
      </c>
      <c r="M59">
        <v>4</v>
      </c>
      <c r="N59">
        <v>75.27</v>
      </c>
      <c r="O59">
        <v>34732.68</v>
      </c>
      <c r="P59">
        <v>169</v>
      </c>
      <c r="Q59">
        <v>988.11</v>
      </c>
      <c r="R59">
        <v>42.82</v>
      </c>
      <c r="S59">
        <v>35.43</v>
      </c>
      <c r="T59">
        <v>2674.97</v>
      </c>
      <c r="U59">
        <v>0.83</v>
      </c>
      <c r="V59">
        <v>0.88</v>
      </c>
      <c r="W59">
        <v>2.98</v>
      </c>
      <c r="X59">
        <v>0.17</v>
      </c>
      <c r="Y59">
        <v>1</v>
      </c>
      <c r="Z59">
        <v>10</v>
      </c>
    </row>
    <row r="60" spans="1:26" x14ac:dyDescent="0.3">
      <c r="A60">
        <v>58</v>
      </c>
      <c r="B60">
        <v>130</v>
      </c>
      <c r="C60" t="s">
        <v>26</v>
      </c>
      <c r="D60">
        <v>6.1864999999999997</v>
      </c>
      <c r="E60">
        <v>16.16</v>
      </c>
      <c r="F60">
        <v>12.92</v>
      </c>
      <c r="G60">
        <v>86.13</v>
      </c>
      <c r="H60">
        <v>0.98</v>
      </c>
      <c r="I60">
        <v>9</v>
      </c>
      <c r="J60">
        <v>280.20999999999998</v>
      </c>
      <c r="K60">
        <v>59.19</v>
      </c>
      <c r="L60">
        <v>15.5</v>
      </c>
      <c r="M60">
        <v>4</v>
      </c>
      <c r="N60">
        <v>75.52</v>
      </c>
      <c r="O60">
        <v>34793.360000000001</v>
      </c>
      <c r="P60">
        <v>169.34</v>
      </c>
      <c r="Q60">
        <v>988.18</v>
      </c>
      <c r="R60">
        <v>42.78</v>
      </c>
      <c r="S60">
        <v>35.43</v>
      </c>
      <c r="T60">
        <v>2657.37</v>
      </c>
      <c r="U60">
        <v>0.83</v>
      </c>
      <c r="V60">
        <v>0.88</v>
      </c>
      <c r="W60">
        <v>2.98</v>
      </c>
      <c r="X60">
        <v>0.17</v>
      </c>
      <c r="Y60">
        <v>1</v>
      </c>
      <c r="Z60">
        <v>10</v>
      </c>
    </row>
    <row r="61" spans="1:26" x14ac:dyDescent="0.3">
      <c r="A61">
        <v>59</v>
      </c>
      <c r="B61">
        <v>130</v>
      </c>
      <c r="C61" t="s">
        <v>26</v>
      </c>
      <c r="D61">
        <v>6.1874000000000002</v>
      </c>
      <c r="E61">
        <v>16.16</v>
      </c>
      <c r="F61">
        <v>12.92</v>
      </c>
      <c r="G61">
        <v>86.11</v>
      </c>
      <c r="H61">
        <v>1</v>
      </c>
      <c r="I61">
        <v>9</v>
      </c>
      <c r="J61">
        <v>280.7</v>
      </c>
      <c r="K61">
        <v>59.19</v>
      </c>
      <c r="L61">
        <v>15.75</v>
      </c>
      <c r="M61">
        <v>3</v>
      </c>
      <c r="N61">
        <v>75.760000000000005</v>
      </c>
      <c r="O61">
        <v>34854.15</v>
      </c>
      <c r="P61">
        <v>169.65</v>
      </c>
      <c r="Q61">
        <v>988.1</v>
      </c>
      <c r="R61">
        <v>42.67</v>
      </c>
      <c r="S61">
        <v>35.43</v>
      </c>
      <c r="T61">
        <v>2602.59</v>
      </c>
      <c r="U61">
        <v>0.83</v>
      </c>
      <c r="V61">
        <v>0.88</v>
      </c>
      <c r="W61">
        <v>2.98</v>
      </c>
      <c r="X61">
        <v>0.16</v>
      </c>
      <c r="Y61">
        <v>1</v>
      </c>
      <c r="Z61">
        <v>10</v>
      </c>
    </row>
    <row r="62" spans="1:26" x14ac:dyDescent="0.3">
      <c r="A62">
        <v>60</v>
      </c>
      <c r="B62">
        <v>130</v>
      </c>
      <c r="C62" t="s">
        <v>26</v>
      </c>
      <c r="D62">
        <v>6.1862000000000004</v>
      </c>
      <c r="E62">
        <v>16.16</v>
      </c>
      <c r="F62">
        <v>12.92</v>
      </c>
      <c r="G62">
        <v>86.13</v>
      </c>
      <c r="H62">
        <v>1.01</v>
      </c>
      <c r="I62">
        <v>9</v>
      </c>
      <c r="J62">
        <v>281.2</v>
      </c>
      <c r="K62">
        <v>59.19</v>
      </c>
      <c r="L62">
        <v>16</v>
      </c>
      <c r="M62">
        <v>1</v>
      </c>
      <c r="N62">
        <v>76</v>
      </c>
      <c r="O62">
        <v>34915.03</v>
      </c>
      <c r="P62">
        <v>169.71</v>
      </c>
      <c r="Q62">
        <v>988.09</v>
      </c>
      <c r="R62">
        <v>42.78</v>
      </c>
      <c r="S62">
        <v>35.43</v>
      </c>
      <c r="T62">
        <v>2657.19</v>
      </c>
      <c r="U62">
        <v>0.83</v>
      </c>
      <c r="V62">
        <v>0.88</v>
      </c>
      <c r="W62">
        <v>2.98</v>
      </c>
      <c r="X62">
        <v>0.17</v>
      </c>
      <c r="Y62">
        <v>1</v>
      </c>
      <c r="Z62">
        <v>10</v>
      </c>
    </row>
    <row r="63" spans="1:26" x14ac:dyDescent="0.3">
      <c r="A63">
        <v>61</v>
      </c>
      <c r="B63">
        <v>130</v>
      </c>
      <c r="C63" t="s">
        <v>26</v>
      </c>
      <c r="D63">
        <v>6.1864999999999997</v>
      </c>
      <c r="E63">
        <v>16.16</v>
      </c>
      <c r="F63">
        <v>12.92</v>
      </c>
      <c r="G63">
        <v>86.13</v>
      </c>
      <c r="H63">
        <v>1.03</v>
      </c>
      <c r="I63">
        <v>9</v>
      </c>
      <c r="J63">
        <v>281.69</v>
      </c>
      <c r="K63">
        <v>59.19</v>
      </c>
      <c r="L63">
        <v>16.25</v>
      </c>
      <c r="M63">
        <v>0</v>
      </c>
      <c r="N63">
        <v>76.25</v>
      </c>
      <c r="O63">
        <v>34976</v>
      </c>
      <c r="P63">
        <v>170.01</v>
      </c>
      <c r="Q63">
        <v>988.13</v>
      </c>
      <c r="R63">
        <v>42.68</v>
      </c>
      <c r="S63">
        <v>35.43</v>
      </c>
      <c r="T63">
        <v>2606.52</v>
      </c>
      <c r="U63">
        <v>0.83</v>
      </c>
      <c r="V63">
        <v>0.88</v>
      </c>
      <c r="W63">
        <v>2.99</v>
      </c>
      <c r="X63">
        <v>0.17</v>
      </c>
      <c r="Y63">
        <v>1</v>
      </c>
      <c r="Z63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27"/>
  <dimension ref="A1:Z2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75</v>
      </c>
      <c r="C2" t="s">
        <v>26</v>
      </c>
      <c r="D2">
        <v>4.6223000000000001</v>
      </c>
      <c r="E2">
        <v>21.63</v>
      </c>
      <c r="F2">
        <v>15.39</v>
      </c>
      <c r="G2">
        <v>7.1</v>
      </c>
      <c r="H2">
        <v>0.12</v>
      </c>
      <c r="I2">
        <v>130</v>
      </c>
      <c r="J2">
        <v>150.44</v>
      </c>
      <c r="K2">
        <v>49.1</v>
      </c>
      <c r="L2">
        <v>1</v>
      </c>
      <c r="M2">
        <v>128</v>
      </c>
      <c r="N2">
        <v>25.34</v>
      </c>
      <c r="O2">
        <v>18787.759999999998</v>
      </c>
      <c r="P2">
        <v>179.37</v>
      </c>
      <c r="Q2">
        <v>988.3</v>
      </c>
      <c r="R2">
        <v>119.69</v>
      </c>
      <c r="S2">
        <v>35.43</v>
      </c>
      <c r="T2">
        <v>40504.54</v>
      </c>
      <c r="U2">
        <v>0.3</v>
      </c>
      <c r="V2">
        <v>0.74</v>
      </c>
      <c r="W2">
        <v>3.18</v>
      </c>
      <c r="X2">
        <v>2.63</v>
      </c>
      <c r="Y2">
        <v>1</v>
      </c>
      <c r="Z2">
        <v>10</v>
      </c>
    </row>
    <row r="3" spans="1:26" x14ac:dyDescent="0.3">
      <c r="A3">
        <v>1</v>
      </c>
      <c r="B3">
        <v>75</v>
      </c>
      <c r="C3" t="s">
        <v>26</v>
      </c>
      <c r="D3">
        <v>4.9904000000000002</v>
      </c>
      <c r="E3">
        <v>20.04</v>
      </c>
      <c r="F3">
        <v>14.74</v>
      </c>
      <c r="G3">
        <v>8.93</v>
      </c>
      <c r="H3">
        <v>0.15</v>
      </c>
      <c r="I3">
        <v>99</v>
      </c>
      <c r="J3">
        <v>150.78</v>
      </c>
      <c r="K3">
        <v>49.1</v>
      </c>
      <c r="L3">
        <v>1.25</v>
      </c>
      <c r="M3">
        <v>97</v>
      </c>
      <c r="N3">
        <v>25.44</v>
      </c>
      <c r="O3">
        <v>18830.650000000001</v>
      </c>
      <c r="P3">
        <v>170.53</v>
      </c>
      <c r="Q3">
        <v>988.22</v>
      </c>
      <c r="R3">
        <v>99.36</v>
      </c>
      <c r="S3">
        <v>35.43</v>
      </c>
      <c r="T3">
        <v>30495.58</v>
      </c>
      <c r="U3">
        <v>0.36</v>
      </c>
      <c r="V3">
        <v>0.77</v>
      </c>
      <c r="W3">
        <v>3.13</v>
      </c>
      <c r="X3">
        <v>1.98</v>
      </c>
      <c r="Y3">
        <v>1</v>
      </c>
      <c r="Z3">
        <v>10</v>
      </c>
    </row>
    <row r="4" spans="1:26" x14ac:dyDescent="0.3">
      <c r="A4">
        <v>2</v>
      </c>
      <c r="B4">
        <v>75</v>
      </c>
      <c r="C4" t="s">
        <v>26</v>
      </c>
      <c r="D4">
        <v>5.2483000000000004</v>
      </c>
      <c r="E4">
        <v>19.05</v>
      </c>
      <c r="F4">
        <v>14.33</v>
      </c>
      <c r="G4">
        <v>10.75</v>
      </c>
      <c r="H4">
        <v>0.18</v>
      </c>
      <c r="I4">
        <v>80</v>
      </c>
      <c r="J4">
        <v>151.13</v>
      </c>
      <c r="K4">
        <v>49.1</v>
      </c>
      <c r="L4">
        <v>1.5</v>
      </c>
      <c r="M4">
        <v>78</v>
      </c>
      <c r="N4">
        <v>25.54</v>
      </c>
      <c r="O4">
        <v>18873.580000000002</v>
      </c>
      <c r="P4">
        <v>164.5</v>
      </c>
      <c r="Q4">
        <v>988.31</v>
      </c>
      <c r="R4">
        <v>87.08</v>
      </c>
      <c r="S4">
        <v>35.43</v>
      </c>
      <c r="T4">
        <v>24450.68</v>
      </c>
      <c r="U4">
        <v>0.41</v>
      </c>
      <c r="V4">
        <v>0.8</v>
      </c>
      <c r="W4">
        <v>3.09</v>
      </c>
      <c r="X4">
        <v>1.58</v>
      </c>
      <c r="Y4">
        <v>1</v>
      </c>
      <c r="Z4">
        <v>10</v>
      </c>
    </row>
    <row r="5" spans="1:26" x14ac:dyDescent="0.3">
      <c r="A5">
        <v>3</v>
      </c>
      <c r="B5">
        <v>75</v>
      </c>
      <c r="C5" t="s">
        <v>26</v>
      </c>
      <c r="D5">
        <v>5.4278000000000004</v>
      </c>
      <c r="E5">
        <v>18.420000000000002</v>
      </c>
      <c r="F5">
        <v>14.1</v>
      </c>
      <c r="G5">
        <v>12.63</v>
      </c>
      <c r="H5">
        <v>0.2</v>
      </c>
      <c r="I5">
        <v>67</v>
      </c>
      <c r="J5">
        <v>151.47999999999999</v>
      </c>
      <c r="K5">
        <v>49.1</v>
      </c>
      <c r="L5">
        <v>1.75</v>
      </c>
      <c r="M5">
        <v>65</v>
      </c>
      <c r="N5">
        <v>25.64</v>
      </c>
      <c r="O5">
        <v>18916.54</v>
      </c>
      <c r="P5">
        <v>160.51</v>
      </c>
      <c r="Q5">
        <v>988.46</v>
      </c>
      <c r="R5">
        <v>79.28</v>
      </c>
      <c r="S5">
        <v>35.43</v>
      </c>
      <c r="T5">
        <v>20614.669999999998</v>
      </c>
      <c r="U5">
        <v>0.45</v>
      </c>
      <c r="V5">
        <v>0.81</v>
      </c>
      <c r="W5">
        <v>3.08</v>
      </c>
      <c r="X5">
        <v>1.34</v>
      </c>
      <c r="Y5">
        <v>1</v>
      </c>
      <c r="Z5">
        <v>10</v>
      </c>
    </row>
    <row r="6" spans="1:26" x14ac:dyDescent="0.3">
      <c r="A6">
        <v>4</v>
      </c>
      <c r="B6">
        <v>75</v>
      </c>
      <c r="C6" t="s">
        <v>26</v>
      </c>
      <c r="D6">
        <v>5.5697000000000001</v>
      </c>
      <c r="E6">
        <v>17.95</v>
      </c>
      <c r="F6">
        <v>13.91</v>
      </c>
      <c r="G6">
        <v>14.39</v>
      </c>
      <c r="H6">
        <v>0.23</v>
      </c>
      <c r="I6">
        <v>58</v>
      </c>
      <c r="J6">
        <v>151.83000000000001</v>
      </c>
      <c r="K6">
        <v>49.1</v>
      </c>
      <c r="L6">
        <v>2</v>
      </c>
      <c r="M6">
        <v>56</v>
      </c>
      <c r="N6">
        <v>25.73</v>
      </c>
      <c r="O6">
        <v>18959.54</v>
      </c>
      <c r="P6">
        <v>156.9</v>
      </c>
      <c r="Q6">
        <v>988.3</v>
      </c>
      <c r="R6">
        <v>73.41</v>
      </c>
      <c r="S6">
        <v>35.43</v>
      </c>
      <c r="T6">
        <v>17725.89</v>
      </c>
      <c r="U6">
        <v>0.48</v>
      </c>
      <c r="V6">
        <v>0.82</v>
      </c>
      <c r="W6">
        <v>3.06</v>
      </c>
      <c r="X6">
        <v>1.1499999999999999</v>
      </c>
      <c r="Y6">
        <v>1</v>
      </c>
      <c r="Z6">
        <v>10</v>
      </c>
    </row>
    <row r="7" spans="1:26" x14ac:dyDescent="0.3">
      <c r="A7">
        <v>5</v>
      </c>
      <c r="B7">
        <v>75</v>
      </c>
      <c r="C7" t="s">
        <v>26</v>
      </c>
      <c r="D7">
        <v>5.6917999999999997</v>
      </c>
      <c r="E7">
        <v>17.57</v>
      </c>
      <c r="F7">
        <v>13.77</v>
      </c>
      <c r="G7">
        <v>16.52</v>
      </c>
      <c r="H7">
        <v>0.26</v>
      </c>
      <c r="I7">
        <v>50</v>
      </c>
      <c r="J7">
        <v>152.18</v>
      </c>
      <c r="K7">
        <v>49.1</v>
      </c>
      <c r="L7">
        <v>2.25</v>
      </c>
      <c r="M7">
        <v>48</v>
      </c>
      <c r="N7">
        <v>25.83</v>
      </c>
      <c r="O7">
        <v>19002.560000000001</v>
      </c>
      <c r="P7">
        <v>154.03</v>
      </c>
      <c r="Q7">
        <v>988.3</v>
      </c>
      <c r="R7">
        <v>68.900000000000006</v>
      </c>
      <c r="S7">
        <v>35.43</v>
      </c>
      <c r="T7">
        <v>15513.45</v>
      </c>
      <c r="U7">
        <v>0.51</v>
      </c>
      <c r="V7">
        <v>0.83</v>
      </c>
      <c r="W7">
        <v>3.06</v>
      </c>
      <c r="X7">
        <v>1.01</v>
      </c>
      <c r="Y7">
        <v>1</v>
      </c>
      <c r="Z7">
        <v>10</v>
      </c>
    </row>
    <row r="8" spans="1:26" x14ac:dyDescent="0.3">
      <c r="A8">
        <v>6</v>
      </c>
      <c r="B8">
        <v>75</v>
      </c>
      <c r="C8" t="s">
        <v>26</v>
      </c>
      <c r="D8">
        <v>5.7850000000000001</v>
      </c>
      <c r="E8">
        <v>17.29</v>
      </c>
      <c r="F8">
        <v>13.63</v>
      </c>
      <c r="G8">
        <v>18.18</v>
      </c>
      <c r="H8">
        <v>0.28999999999999998</v>
      </c>
      <c r="I8">
        <v>45</v>
      </c>
      <c r="J8">
        <v>152.53</v>
      </c>
      <c r="K8">
        <v>49.1</v>
      </c>
      <c r="L8">
        <v>2.5</v>
      </c>
      <c r="M8">
        <v>43</v>
      </c>
      <c r="N8">
        <v>25.93</v>
      </c>
      <c r="O8">
        <v>19045.63</v>
      </c>
      <c r="P8">
        <v>151.11000000000001</v>
      </c>
      <c r="Q8">
        <v>988.12</v>
      </c>
      <c r="R8">
        <v>65.13</v>
      </c>
      <c r="S8">
        <v>35.43</v>
      </c>
      <c r="T8">
        <v>13652.51</v>
      </c>
      <c r="U8">
        <v>0.54</v>
      </c>
      <c r="V8">
        <v>0.84</v>
      </c>
      <c r="W8">
        <v>3.04</v>
      </c>
      <c r="X8">
        <v>0.88</v>
      </c>
      <c r="Y8">
        <v>1</v>
      </c>
      <c r="Z8">
        <v>10</v>
      </c>
    </row>
    <row r="9" spans="1:26" x14ac:dyDescent="0.3">
      <c r="A9">
        <v>7</v>
      </c>
      <c r="B9">
        <v>75</v>
      </c>
      <c r="C9" t="s">
        <v>26</v>
      </c>
      <c r="D9">
        <v>5.8728999999999996</v>
      </c>
      <c r="E9">
        <v>17.03</v>
      </c>
      <c r="F9">
        <v>13.53</v>
      </c>
      <c r="G9">
        <v>20.29</v>
      </c>
      <c r="H9">
        <v>0.32</v>
      </c>
      <c r="I9">
        <v>40</v>
      </c>
      <c r="J9">
        <v>152.88</v>
      </c>
      <c r="K9">
        <v>49.1</v>
      </c>
      <c r="L9">
        <v>2.75</v>
      </c>
      <c r="M9">
        <v>38</v>
      </c>
      <c r="N9">
        <v>26.03</v>
      </c>
      <c r="O9">
        <v>19088.72</v>
      </c>
      <c r="P9">
        <v>148.61000000000001</v>
      </c>
      <c r="Q9">
        <v>988.2</v>
      </c>
      <c r="R9">
        <v>61.76</v>
      </c>
      <c r="S9">
        <v>35.43</v>
      </c>
      <c r="T9">
        <v>11989.68</v>
      </c>
      <c r="U9">
        <v>0.56999999999999995</v>
      </c>
      <c r="V9">
        <v>0.84</v>
      </c>
      <c r="W9">
        <v>3.03</v>
      </c>
      <c r="X9">
        <v>0.77</v>
      </c>
      <c r="Y9">
        <v>1</v>
      </c>
      <c r="Z9">
        <v>10</v>
      </c>
    </row>
    <row r="10" spans="1:26" x14ac:dyDescent="0.3">
      <c r="A10">
        <v>8</v>
      </c>
      <c r="B10">
        <v>75</v>
      </c>
      <c r="C10" t="s">
        <v>26</v>
      </c>
      <c r="D10">
        <v>5.9425999999999997</v>
      </c>
      <c r="E10">
        <v>16.829999999999998</v>
      </c>
      <c r="F10">
        <v>13.45</v>
      </c>
      <c r="G10">
        <v>22.42</v>
      </c>
      <c r="H10">
        <v>0.35</v>
      </c>
      <c r="I10">
        <v>36</v>
      </c>
      <c r="J10">
        <v>153.22999999999999</v>
      </c>
      <c r="K10">
        <v>49.1</v>
      </c>
      <c r="L10">
        <v>3</v>
      </c>
      <c r="M10">
        <v>34</v>
      </c>
      <c r="N10">
        <v>26.13</v>
      </c>
      <c r="O10">
        <v>19131.849999999999</v>
      </c>
      <c r="P10">
        <v>146.19</v>
      </c>
      <c r="Q10">
        <v>988.26</v>
      </c>
      <c r="R10">
        <v>59.49</v>
      </c>
      <c r="S10">
        <v>35.43</v>
      </c>
      <c r="T10">
        <v>10875.53</v>
      </c>
      <c r="U10">
        <v>0.6</v>
      </c>
      <c r="V10">
        <v>0.85</v>
      </c>
      <c r="W10">
        <v>3.02</v>
      </c>
      <c r="X10">
        <v>0.7</v>
      </c>
      <c r="Y10">
        <v>1</v>
      </c>
      <c r="Z10">
        <v>10</v>
      </c>
    </row>
    <row r="11" spans="1:26" x14ac:dyDescent="0.3">
      <c r="A11">
        <v>9</v>
      </c>
      <c r="B11">
        <v>75</v>
      </c>
      <c r="C11" t="s">
        <v>26</v>
      </c>
      <c r="D11">
        <v>5.9947999999999997</v>
      </c>
      <c r="E11">
        <v>16.68</v>
      </c>
      <c r="F11">
        <v>13.4</v>
      </c>
      <c r="G11">
        <v>24.36</v>
      </c>
      <c r="H11">
        <v>0.37</v>
      </c>
      <c r="I11">
        <v>33</v>
      </c>
      <c r="J11">
        <v>153.58000000000001</v>
      </c>
      <c r="K11">
        <v>49.1</v>
      </c>
      <c r="L11">
        <v>3.25</v>
      </c>
      <c r="M11">
        <v>31</v>
      </c>
      <c r="N11">
        <v>26.23</v>
      </c>
      <c r="O11">
        <v>19175.02</v>
      </c>
      <c r="P11">
        <v>144.03</v>
      </c>
      <c r="Q11">
        <v>988.14</v>
      </c>
      <c r="R11">
        <v>57.62</v>
      </c>
      <c r="S11">
        <v>35.43</v>
      </c>
      <c r="T11">
        <v>9958.5400000000009</v>
      </c>
      <c r="U11">
        <v>0.61</v>
      </c>
      <c r="V11">
        <v>0.85</v>
      </c>
      <c r="W11">
        <v>3.02</v>
      </c>
      <c r="X11">
        <v>0.64</v>
      </c>
      <c r="Y11">
        <v>1</v>
      </c>
      <c r="Z11">
        <v>10</v>
      </c>
    </row>
    <row r="12" spans="1:26" x14ac:dyDescent="0.3">
      <c r="A12">
        <v>10</v>
      </c>
      <c r="B12">
        <v>75</v>
      </c>
      <c r="C12" t="s">
        <v>26</v>
      </c>
      <c r="D12">
        <v>6.0315000000000003</v>
      </c>
      <c r="E12">
        <v>16.579999999999998</v>
      </c>
      <c r="F12">
        <v>13.36</v>
      </c>
      <c r="G12">
        <v>25.85</v>
      </c>
      <c r="H12">
        <v>0.4</v>
      </c>
      <c r="I12">
        <v>31</v>
      </c>
      <c r="J12">
        <v>153.93</v>
      </c>
      <c r="K12">
        <v>49.1</v>
      </c>
      <c r="L12">
        <v>3.5</v>
      </c>
      <c r="M12">
        <v>29</v>
      </c>
      <c r="N12">
        <v>26.33</v>
      </c>
      <c r="O12">
        <v>19218.22</v>
      </c>
      <c r="P12">
        <v>142.47</v>
      </c>
      <c r="Q12">
        <v>988.21</v>
      </c>
      <c r="R12">
        <v>56.43</v>
      </c>
      <c r="S12">
        <v>35.43</v>
      </c>
      <c r="T12">
        <v>9369.2199999999993</v>
      </c>
      <c r="U12">
        <v>0.63</v>
      </c>
      <c r="V12">
        <v>0.85</v>
      </c>
      <c r="W12">
        <v>3.02</v>
      </c>
      <c r="X12">
        <v>0.6</v>
      </c>
      <c r="Y12">
        <v>1</v>
      </c>
      <c r="Z12">
        <v>10</v>
      </c>
    </row>
    <row r="13" spans="1:26" x14ac:dyDescent="0.3">
      <c r="A13">
        <v>11</v>
      </c>
      <c r="B13">
        <v>75</v>
      </c>
      <c r="C13" t="s">
        <v>26</v>
      </c>
      <c r="D13">
        <v>6.0890000000000004</v>
      </c>
      <c r="E13">
        <v>16.420000000000002</v>
      </c>
      <c r="F13">
        <v>13.29</v>
      </c>
      <c r="G13">
        <v>28.48</v>
      </c>
      <c r="H13">
        <v>0.43</v>
      </c>
      <c r="I13">
        <v>28</v>
      </c>
      <c r="J13">
        <v>154.28</v>
      </c>
      <c r="K13">
        <v>49.1</v>
      </c>
      <c r="L13">
        <v>3.75</v>
      </c>
      <c r="M13">
        <v>26</v>
      </c>
      <c r="N13">
        <v>26.43</v>
      </c>
      <c r="O13">
        <v>19261.45</v>
      </c>
      <c r="P13">
        <v>140.1</v>
      </c>
      <c r="Q13">
        <v>988.16</v>
      </c>
      <c r="R13">
        <v>54.47</v>
      </c>
      <c r="S13">
        <v>35.43</v>
      </c>
      <c r="T13">
        <v>8408.19</v>
      </c>
      <c r="U13">
        <v>0.65</v>
      </c>
      <c r="V13">
        <v>0.86</v>
      </c>
      <c r="W13">
        <v>3.01</v>
      </c>
      <c r="X13">
        <v>0.54</v>
      </c>
      <c r="Y13">
        <v>1</v>
      </c>
      <c r="Z13">
        <v>10</v>
      </c>
    </row>
    <row r="14" spans="1:26" x14ac:dyDescent="0.3">
      <c r="A14">
        <v>12</v>
      </c>
      <c r="B14">
        <v>75</v>
      </c>
      <c r="C14" t="s">
        <v>26</v>
      </c>
      <c r="D14">
        <v>6.1265000000000001</v>
      </c>
      <c r="E14">
        <v>16.32</v>
      </c>
      <c r="F14">
        <v>13.25</v>
      </c>
      <c r="G14">
        <v>30.58</v>
      </c>
      <c r="H14">
        <v>0.46</v>
      </c>
      <c r="I14">
        <v>26</v>
      </c>
      <c r="J14">
        <v>154.63</v>
      </c>
      <c r="K14">
        <v>49.1</v>
      </c>
      <c r="L14">
        <v>4</v>
      </c>
      <c r="M14">
        <v>24</v>
      </c>
      <c r="N14">
        <v>26.53</v>
      </c>
      <c r="O14">
        <v>19304.72</v>
      </c>
      <c r="P14">
        <v>138.44999999999999</v>
      </c>
      <c r="Q14">
        <v>988.22</v>
      </c>
      <c r="R14">
        <v>53.06</v>
      </c>
      <c r="S14">
        <v>35.43</v>
      </c>
      <c r="T14">
        <v>7713.38</v>
      </c>
      <c r="U14">
        <v>0.67</v>
      </c>
      <c r="V14">
        <v>0.86</v>
      </c>
      <c r="W14">
        <v>3.01</v>
      </c>
      <c r="X14">
        <v>0.5</v>
      </c>
      <c r="Y14">
        <v>1</v>
      </c>
      <c r="Z14">
        <v>10</v>
      </c>
    </row>
    <row r="15" spans="1:26" x14ac:dyDescent="0.3">
      <c r="A15">
        <v>13</v>
      </c>
      <c r="B15">
        <v>75</v>
      </c>
      <c r="C15" t="s">
        <v>26</v>
      </c>
      <c r="D15">
        <v>6.1688999999999998</v>
      </c>
      <c r="E15">
        <v>16.21</v>
      </c>
      <c r="F15">
        <v>13.2</v>
      </c>
      <c r="G15">
        <v>33</v>
      </c>
      <c r="H15">
        <v>0.49</v>
      </c>
      <c r="I15">
        <v>24</v>
      </c>
      <c r="J15">
        <v>154.97999999999999</v>
      </c>
      <c r="K15">
        <v>49.1</v>
      </c>
      <c r="L15">
        <v>4.25</v>
      </c>
      <c r="M15">
        <v>22</v>
      </c>
      <c r="N15">
        <v>26.63</v>
      </c>
      <c r="O15">
        <v>19348.03</v>
      </c>
      <c r="P15">
        <v>136.02000000000001</v>
      </c>
      <c r="Q15">
        <v>988.15</v>
      </c>
      <c r="R15">
        <v>51.7</v>
      </c>
      <c r="S15">
        <v>35.43</v>
      </c>
      <c r="T15">
        <v>7038.62</v>
      </c>
      <c r="U15">
        <v>0.69</v>
      </c>
      <c r="V15">
        <v>0.86</v>
      </c>
      <c r="W15">
        <v>3</v>
      </c>
      <c r="X15">
        <v>0.45</v>
      </c>
      <c r="Y15">
        <v>1</v>
      </c>
      <c r="Z15">
        <v>10</v>
      </c>
    </row>
    <row r="16" spans="1:26" x14ac:dyDescent="0.3">
      <c r="A16">
        <v>14</v>
      </c>
      <c r="B16">
        <v>75</v>
      </c>
      <c r="C16" t="s">
        <v>26</v>
      </c>
      <c r="D16">
        <v>6.1825999999999999</v>
      </c>
      <c r="E16">
        <v>16.170000000000002</v>
      </c>
      <c r="F16">
        <v>13.2</v>
      </c>
      <c r="G16">
        <v>34.42</v>
      </c>
      <c r="H16">
        <v>0.51</v>
      </c>
      <c r="I16">
        <v>23</v>
      </c>
      <c r="J16">
        <v>155.33000000000001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134.9</v>
      </c>
      <c r="Q16">
        <v>988.26</v>
      </c>
      <c r="R16">
        <v>51.35</v>
      </c>
      <c r="S16">
        <v>35.43</v>
      </c>
      <c r="T16">
        <v>6869.46</v>
      </c>
      <c r="U16">
        <v>0.69</v>
      </c>
      <c r="V16">
        <v>0.86</v>
      </c>
      <c r="W16">
        <v>3</v>
      </c>
      <c r="X16">
        <v>0.44</v>
      </c>
      <c r="Y16">
        <v>1</v>
      </c>
      <c r="Z16">
        <v>10</v>
      </c>
    </row>
    <row r="17" spans="1:26" x14ac:dyDescent="0.3">
      <c r="A17">
        <v>15</v>
      </c>
      <c r="B17">
        <v>75</v>
      </c>
      <c r="C17" t="s">
        <v>26</v>
      </c>
      <c r="D17">
        <v>6.2201000000000004</v>
      </c>
      <c r="E17">
        <v>16.079999999999998</v>
      </c>
      <c r="F17">
        <v>13.16</v>
      </c>
      <c r="G17">
        <v>37.6</v>
      </c>
      <c r="H17">
        <v>0.54</v>
      </c>
      <c r="I17">
        <v>21</v>
      </c>
      <c r="J17">
        <v>155.68</v>
      </c>
      <c r="K17">
        <v>49.1</v>
      </c>
      <c r="L17">
        <v>4.75</v>
      </c>
      <c r="M17">
        <v>19</v>
      </c>
      <c r="N17">
        <v>26.84</v>
      </c>
      <c r="O17">
        <v>19434.740000000002</v>
      </c>
      <c r="P17">
        <v>132.74</v>
      </c>
      <c r="Q17">
        <v>988.11</v>
      </c>
      <c r="R17">
        <v>50.3</v>
      </c>
      <c r="S17">
        <v>35.43</v>
      </c>
      <c r="T17">
        <v>6357.46</v>
      </c>
      <c r="U17">
        <v>0.7</v>
      </c>
      <c r="V17">
        <v>0.87</v>
      </c>
      <c r="W17">
        <v>3</v>
      </c>
      <c r="X17">
        <v>0.41</v>
      </c>
      <c r="Y17">
        <v>1</v>
      </c>
      <c r="Z17">
        <v>10</v>
      </c>
    </row>
    <row r="18" spans="1:26" x14ac:dyDescent="0.3">
      <c r="A18">
        <v>16</v>
      </c>
      <c r="B18">
        <v>75</v>
      </c>
      <c r="C18" t="s">
        <v>26</v>
      </c>
      <c r="D18">
        <v>6.2492999999999999</v>
      </c>
      <c r="E18">
        <v>16</v>
      </c>
      <c r="F18">
        <v>13.11</v>
      </c>
      <c r="G18">
        <v>39.340000000000003</v>
      </c>
      <c r="H18">
        <v>0.56999999999999995</v>
      </c>
      <c r="I18">
        <v>20</v>
      </c>
      <c r="J18">
        <v>156.03</v>
      </c>
      <c r="K18">
        <v>49.1</v>
      </c>
      <c r="L18">
        <v>5</v>
      </c>
      <c r="M18">
        <v>18</v>
      </c>
      <c r="N18">
        <v>26.94</v>
      </c>
      <c r="O18">
        <v>19478.150000000001</v>
      </c>
      <c r="P18">
        <v>131.05000000000001</v>
      </c>
      <c r="Q18">
        <v>988.11</v>
      </c>
      <c r="R18">
        <v>49.06</v>
      </c>
      <c r="S18">
        <v>35.43</v>
      </c>
      <c r="T18">
        <v>5741.23</v>
      </c>
      <c r="U18">
        <v>0.72</v>
      </c>
      <c r="V18">
        <v>0.87</v>
      </c>
      <c r="W18">
        <v>2.99</v>
      </c>
      <c r="X18">
        <v>0.36</v>
      </c>
      <c r="Y18">
        <v>1</v>
      </c>
      <c r="Z18">
        <v>10</v>
      </c>
    </row>
    <row r="19" spans="1:26" x14ac:dyDescent="0.3">
      <c r="A19">
        <v>17</v>
      </c>
      <c r="B19">
        <v>75</v>
      </c>
      <c r="C19" t="s">
        <v>26</v>
      </c>
      <c r="D19">
        <v>6.2602000000000002</v>
      </c>
      <c r="E19">
        <v>15.97</v>
      </c>
      <c r="F19">
        <v>13.12</v>
      </c>
      <c r="G19">
        <v>41.42</v>
      </c>
      <c r="H19">
        <v>0.59</v>
      </c>
      <c r="I19">
        <v>19</v>
      </c>
      <c r="J19">
        <v>156.38999999999999</v>
      </c>
      <c r="K19">
        <v>49.1</v>
      </c>
      <c r="L19">
        <v>5.25</v>
      </c>
      <c r="M19">
        <v>17</v>
      </c>
      <c r="N19">
        <v>27.04</v>
      </c>
      <c r="O19">
        <v>19521.59</v>
      </c>
      <c r="P19">
        <v>128.53</v>
      </c>
      <c r="Q19">
        <v>988.12</v>
      </c>
      <c r="R19">
        <v>49.07</v>
      </c>
      <c r="S19">
        <v>35.43</v>
      </c>
      <c r="T19">
        <v>5752.57</v>
      </c>
      <c r="U19">
        <v>0.72</v>
      </c>
      <c r="V19">
        <v>0.87</v>
      </c>
      <c r="W19">
        <v>3</v>
      </c>
      <c r="X19">
        <v>0.36</v>
      </c>
      <c r="Y19">
        <v>1</v>
      </c>
      <c r="Z19">
        <v>10</v>
      </c>
    </row>
    <row r="20" spans="1:26" x14ac:dyDescent="0.3">
      <c r="A20">
        <v>18</v>
      </c>
      <c r="B20">
        <v>75</v>
      </c>
      <c r="C20" t="s">
        <v>26</v>
      </c>
      <c r="D20">
        <v>6.2794999999999996</v>
      </c>
      <c r="E20">
        <v>15.92</v>
      </c>
      <c r="F20">
        <v>13.1</v>
      </c>
      <c r="G20">
        <v>43.66</v>
      </c>
      <c r="H20">
        <v>0.62</v>
      </c>
      <c r="I20">
        <v>18</v>
      </c>
      <c r="J20">
        <v>156.74</v>
      </c>
      <c r="K20">
        <v>49.1</v>
      </c>
      <c r="L20">
        <v>5.5</v>
      </c>
      <c r="M20">
        <v>16</v>
      </c>
      <c r="N20">
        <v>27.14</v>
      </c>
      <c r="O20">
        <v>19565.07</v>
      </c>
      <c r="P20">
        <v>127.3</v>
      </c>
      <c r="Q20">
        <v>988.08</v>
      </c>
      <c r="R20">
        <v>48.55</v>
      </c>
      <c r="S20">
        <v>35.43</v>
      </c>
      <c r="T20">
        <v>5494.62</v>
      </c>
      <c r="U20">
        <v>0.73</v>
      </c>
      <c r="V20">
        <v>0.87</v>
      </c>
      <c r="W20">
        <v>2.99</v>
      </c>
      <c r="X20">
        <v>0.34</v>
      </c>
      <c r="Y20">
        <v>1</v>
      </c>
      <c r="Z20">
        <v>10</v>
      </c>
    </row>
    <row r="21" spans="1:26" x14ac:dyDescent="0.3">
      <c r="A21">
        <v>19</v>
      </c>
      <c r="B21">
        <v>75</v>
      </c>
      <c r="C21" t="s">
        <v>26</v>
      </c>
      <c r="D21">
        <v>6.3009000000000004</v>
      </c>
      <c r="E21">
        <v>15.87</v>
      </c>
      <c r="F21">
        <v>13.07</v>
      </c>
      <c r="G21">
        <v>46.15</v>
      </c>
      <c r="H21">
        <v>0.65</v>
      </c>
      <c r="I21">
        <v>17</v>
      </c>
      <c r="J21">
        <v>157.09</v>
      </c>
      <c r="K21">
        <v>49.1</v>
      </c>
      <c r="L21">
        <v>5.75</v>
      </c>
      <c r="M21">
        <v>15</v>
      </c>
      <c r="N21">
        <v>27.25</v>
      </c>
      <c r="O21">
        <v>19608.580000000002</v>
      </c>
      <c r="P21">
        <v>124.35</v>
      </c>
      <c r="Q21">
        <v>988.12</v>
      </c>
      <c r="R21">
        <v>47.78</v>
      </c>
      <c r="S21">
        <v>35.43</v>
      </c>
      <c r="T21">
        <v>5116.99</v>
      </c>
      <c r="U21">
        <v>0.74</v>
      </c>
      <c r="V21">
        <v>0.87</v>
      </c>
      <c r="W21">
        <v>2.99</v>
      </c>
      <c r="X21">
        <v>0.32</v>
      </c>
      <c r="Y21">
        <v>1</v>
      </c>
      <c r="Z21">
        <v>10</v>
      </c>
    </row>
    <row r="22" spans="1:26" x14ac:dyDescent="0.3">
      <c r="A22">
        <v>20</v>
      </c>
      <c r="B22">
        <v>75</v>
      </c>
      <c r="C22" t="s">
        <v>26</v>
      </c>
      <c r="D22">
        <v>6.3212999999999999</v>
      </c>
      <c r="E22">
        <v>15.82</v>
      </c>
      <c r="F22">
        <v>13.05</v>
      </c>
      <c r="G22">
        <v>48.95</v>
      </c>
      <c r="H22">
        <v>0.67</v>
      </c>
      <c r="I22">
        <v>16</v>
      </c>
      <c r="J22">
        <v>157.44</v>
      </c>
      <c r="K22">
        <v>49.1</v>
      </c>
      <c r="L22">
        <v>6</v>
      </c>
      <c r="M22">
        <v>12</v>
      </c>
      <c r="N22">
        <v>27.35</v>
      </c>
      <c r="O22">
        <v>19652.13</v>
      </c>
      <c r="P22">
        <v>123.57</v>
      </c>
      <c r="Q22">
        <v>988.14</v>
      </c>
      <c r="R22">
        <v>47</v>
      </c>
      <c r="S22">
        <v>35.43</v>
      </c>
      <c r="T22">
        <v>4731.6400000000003</v>
      </c>
      <c r="U22">
        <v>0.75</v>
      </c>
      <c r="V22">
        <v>0.87</v>
      </c>
      <c r="W22">
        <v>2.99</v>
      </c>
      <c r="X22">
        <v>0.3</v>
      </c>
      <c r="Y22">
        <v>1</v>
      </c>
      <c r="Z22">
        <v>10</v>
      </c>
    </row>
    <row r="23" spans="1:26" x14ac:dyDescent="0.3">
      <c r="A23">
        <v>21</v>
      </c>
      <c r="B23">
        <v>75</v>
      </c>
      <c r="C23" t="s">
        <v>26</v>
      </c>
      <c r="D23">
        <v>6.3390000000000004</v>
      </c>
      <c r="E23">
        <v>15.78</v>
      </c>
      <c r="F23">
        <v>13.04</v>
      </c>
      <c r="G23">
        <v>52.16</v>
      </c>
      <c r="H23">
        <v>0.7</v>
      </c>
      <c r="I23">
        <v>15</v>
      </c>
      <c r="J23">
        <v>157.80000000000001</v>
      </c>
      <c r="K23">
        <v>49.1</v>
      </c>
      <c r="L23">
        <v>6.25</v>
      </c>
      <c r="M23">
        <v>9</v>
      </c>
      <c r="N23">
        <v>27.45</v>
      </c>
      <c r="O23">
        <v>19695.71</v>
      </c>
      <c r="P23">
        <v>120.91</v>
      </c>
      <c r="Q23">
        <v>988.16</v>
      </c>
      <c r="R23">
        <v>46.62</v>
      </c>
      <c r="S23">
        <v>35.43</v>
      </c>
      <c r="T23">
        <v>4547.91</v>
      </c>
      <c r="U23">
        <v>0.76</v>
      </c>
      <c r="V23">
        <v>0.87</v>
      </c>
      <c r="W23">
        <v>2.99</v>
      </c>
      <c r="X23">
        <v>0.28999999999999998</v>
      </c>
      <c r="Y23">
        <v>1</v>
      </c>
      <c r="Z23">
        <v>10</v>
      </c>
    </row>
    <row r="24" spans="1:26" x14ac:dyDescent="0.3">
      <c r="A24">
        <v>22</v>
      </c>
      <c r="B24">
        <v>75</v>
      </c>
      <c r="C24" t="s">
        <v>26</v>
      </c>
      <c r="D24">
        <v>6.3367000000000004</v>
      </c>
      <c r="E24">
        <v>15.78</v>
      </c>
      <c r="F24">
        <v>13.05</v>
      </c>
      <c r="G24">
        <v>52.19</v>
      </c>
      <c r="H24">
        <v>0.73</v>
      </c>
      <c r="I24">
        <v>15</v>
      </c>
      <c r="J24">
        <v>158.15</v>
      </c>
      <c r="K24">
        <v>49.1</v>
      </c>
      <c r="L24">
        <v>6.5</v>
      </c>
      <c r="M24">
        <v>5</v>
      </c>
      <c r="N24">
        <v>27.56</v>
      </c>
      <c r="O24">
        <v>19739.330000000002</v>
      </c>
      <c r="P24">
        <v>120.57</v>
      </c>
      <c r="Q24">
        <v>988.21</v>
      </c>
      <c r="R24">
        <v>46.52</v>
      </c>
      <c r="S24">
        <v>35.43</v>
      </c>
      <c r="T24">
        <v>4497.87</v>
      </c>
      <c r="U24">
        <v>0.76</v>
      </c>
      <c r="V24">
        <v>0.87</v>
      </c>
      <c r="W24">
        <v>3</v>
      </c>
      <c r="X24">
        <v>0.28999999999999998</v>
      </c>
      <c r="Y24">
        <v>1</v>
      </c>
      <c r="Z24">
        <v>10</v>
      </c>
    </row>
    <row r="25" spans="1:26" x14ac:dyDescent="0.3">
      <c r="A25">
        <v>23</v>
      </c>
      <c r="B25">
        <v>75</v>
      </c>
      <c r="C25" t="s">
        <v>26</v>
      </c>
      <c r="D25">
        <v>6.3357000000000001</v>
      </c>
      <c r="E25">
        <v>15.78</v>
      </c>
      <c r="F25">
        <v>13.05</v>
      </c>
      <c r="G25">
        <v>52.2</v>
      </c>
      <c r="H25">
        <v>0.75</v>
      </c>
      <c r="I25">
        <v>15</v>
      </c>
      <c r="J25">
        <v>158.51</v>
      </c>
      <c r="K25">
        <v>49.1</v>
      </c>
      <c r="L25">
        <v>6.75</v>
      </c>
      <c r="M25">
        <v>2</v>
      </c>
      <c r="N25">
        <v>27.66</v>
      </c>
      <c r="O25">
        <v>19782.990000000002</v>
      </c>
      <c r="P25">
        <v>120.4</v>
      </c>
      <c r="Q25">
        <v>988.29</v>
      </c>
      <c r="R25">
        <v>46.54</v>
      </c>
      <c r="S25">
        <v>35.43</v>
      </c>
      <c r="T25">
        <v>4503.68</v>
      </c>
      <c r="U25">
        <v>0.76</v>
      </c>
      <c r="V25">
        <v>0.87</v>
      </c>
      <c r="W25">
        <v>3</v>
      </c>
      <c r="X25">
        <v>0.28999999999999998</v>
      </c>
      <c r="Y25">
        <v>1</v>
      </c>
      <c r="Z25">
        <v>10</v>
      </c>
    </row>
    <row r="26" spans="1:26" x14ac:dyDescent="0.3">
      <c r="A26">
        <v>24</v>
      </c>
      <c r="B26">
        <v>75</v>
      </c>
      <c r="C26" t="s">
        <v>26</v>
      </c>
      <c r="D26">
        <v>6.3396999999999997</v>
      </c>
      <c r="E26">
        <v>15.77</v>
      </c>
      <c r="F26">
        <v>13.04</v>
      </c>
      <c r="G26">
        <v>52.16</v>
      </c>
      <c r="H26">
        <v>0.78</v>
      </c>
      <c r="I26">
        <v>15</v>
      </c>
      <c r="J26">
        <v>158.86000000000001</v>
      </c>
      <c r="K26">
        <v>49.1</v>
      </c>
      <c r="L26">
        <v>7</v>
      </c>
      <c r="M26">
        <v>1</v>
      </c>
      <c r="N26">
        <v>27.77</v>
      </c>
      <c r="O26">
        <v>19826.68</v>
      </c>
      <c r="P26">
        <v>120.38</v>
      </c>
      <c r="Q26">
        <v>988.2</v>
      </c>
      <c r="R26">
        <v>46.15</v>
      </c>
      <c r="S26">
        <v>35.43</v>
      </c>
      <c r="T26">
        <v>4310.3500000000004</v>
      </c>
      <c r="U26">
        <v>0.77</v>
      </c>
      <c r="V26">
        <v>0.87</v>
      </c>
      <c r="W26">
        <v>3</v>
      </c>
      <c r="X26">
        <v>0.28000000000000003</v>
      </c>
      <c r="Y26">
        <v>1</v>
      </c>
      <c r="Z26">
        <v>10</v>
      </c>
    </row>
    <row r="27" spans="1:26" x14ac:dyDescent="0.3">
      <c r="A27">
        <v>25</v>
      </c>
      <c r="B27">
        <v>75</v>
      </c>
      <c r="C27" t="s">
        <v>26</v>
      </c>
      <c r="D27">
        <v>6.3406000000000002</v>
      </c>
      <c r="E27">
        <v>15.77</v>
      </c>
      <c r="F27">
        <v>13.04</v>
      </c>
      <c r="G27">
        <v>52.15</v>
      </c>
      <c r="H27">
        <v>0.81</v>
      </c>
      <c r="I27">
        <v>15</v>
      </c>
      <c r="J27">
        <v>159.22</v>
      </c>
      <c r="K27">
        <v>49.1</v>
      </c>
      <c r="L27">
        <v>7.25</v>
      </c>
      <c r="M27">
        <v>1</v>
      </c>
      <c r="N27">
        <v>27.87</v>
      </c>
      <c r="O27">
        <v>19870.53</v>
      </c>
      <c r="P27">
        <v>120.38</v>
      </c>
      <c r="Q27">
        <v>988.2</v>
      </c>
      <c r="R27">
        <v>46.09</v>
      </c>
      <c r="S27">
        <v>35.43</v>
      </c>
      <c r="T27">
        <v>4281.6400000000003</v>
      </c>
      <c r="U27">
        <v>0.77</v>
      </c>
      <c r="V27">
        <v>0.87</v>
      </c>
      <c r="W27">
        <v>3</v>
      </c>
      <c r="X27">
        <v>0.28000000000000003</v>
      </c>
      <c r="Y27">
        <v>1</v>
      </c>
      <c r="Z27">
        <v>10</v>
      </c>
    </row>
    <row r="28" spans="1:26" x14ac:dyDescent="0.3">
      <c r="A28">
        <v>26</v>
      </c>
      <c r="B28">
        <v>75</v>
      </c>
      <c r="C28" t="s">
        <v>26</v>
      </c>
      <c r="D28">
        <v>6.3404999999999996</v>
      </c>
      <c r="E28">
        <v>15.77</v>
      </c>
      <c r="F28">
        <v>13.04</v>
      </c>
      <c r="G28">
        <v>52.15</v>
      </c>
      <c r="H28">
        <v>0.83</v>
      </c>
      <c r="I28">
        <v>15</v>
      </c>
      <c r="J28">
        <v>159.57</v>
      </c>
      <c r="K28">
        <v>49.1</v>
      </c>
      <c r="L28">
        <v>7.5</v>
      </c>
      <c r="M28">
        <v>0</v>
      </c>
      <c r="N28">
        <v>27.98</v>
      </c>
      <c r="O28">
        <v>19914.3</v>
      </c>
      <c r="P28">
        <v>120.59</v>
      </c>
      <c r="Q28">
        <v>988.2</v>
      </c>
      <c r="R28">
        <v>46.08</v>
      </c>
      <c r="S28">
        <v>35.43</v>
      </c>
      <c r="T28">
        <v>4276.22</v>
      </c>
      <c r="U28">
        <v>0.77</v>
      </c>
      <c r="V28">
        <v>0.87</v>
      </c>
      <c r="W28">
        <v>3</v>
      </c>
      <c r="X28">
        <v>0.28000000000000003</v>
      </c>
      <c r="Y28">
        <v>1</v>
      </c>
      <c r="Z28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28"/>
  <dimension ref="A1:Z38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95</v>
      </c>
      <c r="C2" t="s">
        <v>26</v>
      </c>
      <c r="D2">
        <v>4.1536999999999997</v>
      </c>
      <c r="E2">
        <v>24.08</v>
      </c>
      <c r="F2">
        <v>15.87</v>
      </c>
      <c r="G2">
        <v>6.18</v>
      </c>
      <c r="H2">
        <v>0.1</v>
      </c>
      <c r="I2">
        <v>154</v>
      </c>
      <c r="J2">
        <v>185.69</v>
      </c>
      <c r="K2">
        <v>53.44</v>
      </c>
      <c r="L2">
        <v>1</v>
      </c>
      <c r="M2">
        <v>152</v>
      </c>
      <c r="N2">
        <v>36.26</v>
      </c>
      <c r="O2">
        <v>23136.14</v>
      </c>
      <c r="P2">
        <v>213.46</v>
      </c>
      <c r="Q2">
        <v>988.52</v>
      </c>
      <c r="R2">
        <v>135.26</v>
      </c>
      <c r="S2">
        <v>35.43</v>
      </c>
      <c r="T2">
        <v>48169.7</v>
      </c>
      <c r="U2">
        <v>0.26</v>
      </c>
      <c r="V2">
        <v>0.72</v>
      </c>
      <c r="W2">
        <v>3.2</v>
      </c>
      <c r="X2">
        <v>3.12</v>
      </c>
      <c r="Y2">
        <v>1</v>
      </c>
      <c r="Z2">
        <v>10</v>
      </c>
    </row>
    <row r="3" spans="1:26" x14ac:dyDescent="0.3">
      <c r="A3">
        <v>1</v>
      </c>
      <c r="B3">
        <v>95</v>
      </c>
      <c r="C3" t="s">
        <v>26</v>
      </c>
      <c r="D3">
        <v>4.5616000000000003</v>
      </c>
      <c r="E3">
        <v>21.92</v>
      </c>
      <c r="F3">
        <v>15.1</v>
      </c>
      <c r="G3">
        <v>7.74</v>
      </c>
      <c r="H3">
        <v>0.12</v>
      </c>
      <c r="I3">
        <v>117</v>
      </c>
      <c r="J3">
        <v>186.07</v>
      </c>
      <c r="K3">
        <v>53.44</v>
      </c>
      <c r="L3">
        <v>1.25</v>
      </c>
      <c r="M3">
        <v>115</v>
      </c>
      <c r="N3">
        <v>36.39</v>
      </c>
      <c r="O3">
        <v>23182.76</v>
      </c>
      <c r="P3">
        <v>201.93</v>
      </c>
      <c r="Q3">
        <v>988.38</v>
      </c>
      <c r="R3">
        <v>110.56</v>
      </c>
      <c r="S3">
        <v>35.43</v>
      </c>
      <c r="T3">
        <v>36005.879999999997</v>
      </c>
      <c r="U3">
        <v>0.32</v>
      </c>
      <c r="V3">
        <v>0.76</v>
      </c>
      <c r="W3">
        <v>3.16</v>
      </c>
      <c r="X3">
        <v>2.34</v>
      </c>
      <c r="Y3">
        <v>1</v>
      </c>
      <c r="Z3">
        <v>10</v>
      </c>
    </row>
    <row r="4" spans="1:26" x14ac:dyDescent="0.3">
      <c r="A4">
        <v>2</v>
      </c>
      <c r="B4">
        <v>95</v>
      </c>
      <c r="C4" t="s">
        <v>26</v>
      </c>
      <c r="D4">
        <v>4.8517999999999999</v>
      </c>
      <c r="E4">
        <v>20.61</v>
      </c>
      <c r="F4">
        <v>14.64</v>
      </c>
      <c r="G4">
        <v>9.35</v>
      </c>
      <c r="H4">
        <v>0.14000000000000001</v>
      </c>
      <c r="I4">
        <v>94</v>
      </c>
      <c r="J4">
        <v>186.45</v>
      </c>
      <c r="K4">
        <v>53.44</v>
      </c>
      <c r="L4">
        <v>1.5</v>
      </c>
      <c r="M4">
        <v>92</v>
      </c>
      <c r="N4">
        <v>36.51</v>
      </c>
      <c r="O4">
        <v>23229.42</v>
      </c>
      <c r="P4">
        <v>194.83</v>
      </c>
      <c r="Q4">
        <v>988.77</v>
      </c>
      <c r="R4">
        <v>96.36</v>
      </c>
      <c r="S4">
        <v>35.43</v>
      </c>
      <c r="T4">
        <v>29021.66</v>
      </c>
      <c r="U4">
        <v>0.37</v>
      </c>
      <c r="V4">
        <v>0.78</v>
      </c>
      <c r="W4">
        <v>3.12</v>
      </c>
      <c r="X4">
        <v>1.88</v>
      </c>
      <c r="Y4">
        <v>1</v>
      </c>
      <c r="Z4">
        <v>10</v>
      </c>
    </row>
    <row r="5" spans="1:26" x14ac:dyDescent="0.3">
      <c r="A5">
        <v>3</v>
      </c>
      <c r="B5">
        <v>95</v>
      </c>
      <c r="C5" t="s">
        <v>26</v>
      </c>
      <c r="D5">
        <v>5.0631000000000004</v>
      </c>
      <c r="E5">
        <v>19.75</v>
      </c>
      <c r="F5">
        <v>14.34</v>
      </c>
      <c r="G5">
        <v>10.89</v>
      </c>
      <c r="H5">
        <v>0.17</v>
      </c>
      <c r="I5">
        <v>79</v>
      </c>
      <c r="J5">
        <v>186.83</v>
      </c>
      <c r="K5">
        <v>53.44</v>
      </c>
      <c r="L5">
        <v>1.75</v>
      </c>
      <c r="M5">
        <v>77</v>
      </c>
      <c r="N5">
        <v>36.64</v>
      </c>
      <c r="O5">
        <v>23276.13</v>
      </c>
      <c r="P5">
        <v>189.75</v>
      </c>
      <c r="Q5">
        <v>988.42</v>
      </c>
      <c r="R5">
        <v>86.88</v>
      </c>
      <c r="S5">
        <v>35.43</v>
      </c>
      <c r="T5">
        <v>24358.400000000001</v>
      </c>
      <c r="U5">
        <v>0.41</v>
      </c>
      <c r="V5">
        <v>0.79</v>
      </c>
      <c r="W5">
        <v>3.1</v>
      </c>
      <c r="X5">
        <v>1.58</v>
      </c>
      <c r="Y5">
        <v>1</v>
      </c>
      <c r="Z5">
        <v>10</v>
      </c>
    </row>
    <row r="6" spans="1:26" x14ac:dyDescent="0.3">
      <c r="A6">
        <v>4</v>
      </c>
      <c r="B6">
        <v>95</v>
      </c>
      <c r="C6" t="s">
        <v>26</v>
      </c>
      <c r="D6">
        <v>5.2358000000000002</v>
      </c>
      <c r="E6">
        <v>19.100000000000001</v>
      </c>
      <c r="F6">
        <v>14.1</v>
      </c>
      <c r="G6">
        <v>12.44</v>
      </c>
      <c r="H6">
        <v>0.19</v>
      </c>
      <c r="I6">
        <v>68</v>
      </c>
      <c r="J6">
        <v>187.21</v>
      </c>
      <c r="K6">
        <v>53.44</v>
      </c>
      <c r="L6">
        <v>2</v>
      </c>
      <c r="M6">
        <v>66</v>
      </c>
      <c r="N6">
        <v>36.770000000000003</v>
      </c>
      <c r="O6">
        <v>23322.880000000001</v>
      </c>
      <c r="P6">
        <v>185.47</v>
      </c>
      <c r="Q6">
        <v>988.45</v>
      </c>
      <c r="R6">
        <v>79.819999999999993</v>
      </c>
      <c r="S6">
        <v>35.43</v>
      </c>
      <c r="T6">
        <v>20881.25</v>
      </c>
      <c r="U6">
        <v>0.44</v>
      </c>
      <c r="V6">
        <v>0.81</v>
      </c>
      <c r="W6">
        <v>3.07</v>
      </c>
      <c r="X6">
        <v>1.34</v>
      </c>
      <c r="Y6">
        <v>1</v>
      </c>
      <c r="Z6">
        <v>10</v>
      </c>
    </row>
    <row r="7" spans="1:26" x14ac:dyDescent="0.3">
      <c r="A7">
        <v>5</v>
      </c>
      <c r="B7">
        <v>95</v>
      </c>
      <c r="C7" t="s">
        <v>26</v>
      </c>
      <c r="D7">
        <v>5.3852000000000002</v>
      </c>
      <c r="E7">
        <v>18.57</v>
      </c>
      <c r="F7">
        <v>13.9</v>
      </c>
      <c r="G7">
        <v>14.14</v>
      </c>
      <c r="H7">
        <v>0.21</v>
      </c>
      <c r="I7">
        <v>59</v>
      </c>
      <c r="J7">
        <v>187.59</v>
      </c>
      <c r="K7">
        <v>53.44</v>
      </c>
      <c r="L7">
        <v>2.25</v>
      </c>
      <c r="M7">
        <v>57</v>
      </c>
      <c r="N7">
        <v>36.9</v>
      </c>
      <c r="O7">
        <v>23369.68</v>
      </c>
      <c r="P7">
        <v>181.97</v>
      </c>
      <c r="Q7">
        <v>988.39</v>
      </c>
      <c r="R7">
        <v>73.569999999999993</v>
      </c>
      <c r="S7">
        <v>35.43</v>
      </c>
      <c r="T7">
        <v>17800.59</v>
      </c>
      <c r="U7">
        <v>0.48</v>
      </c>
      <c r="V7">
        <v>0.82</v>
      </c>
      <c r="W7">
        <v>3.06</v>
      </c>
      <c r="X7">
        <v>1.1499999999999999</v>
      </c>
      <c r="Y7">
        <v>1</v>
      </c>
      <c r="Z7">
        <v>10</v>
      </c>
    </row>
    <row r="8" spans="1:26" x14ac:dyDescent="0.3">
      <c r="A8">
        <v>6</v>
      </c>
      <c r="B8">
        <v>95</v>
      </c>
      <c r="C8" t="s">
        <v>26</v>
      </c>
      <c r="D8">
        <v>5.4798999999999998</v>
      </c>
      <c r="E8">
        <v>18.25</v>
      </c>
      <c r="F8">
        <v>13.81</v>
      </c>
      <c r="G8">
        <v>15.63</v>
      </c>
      <c r="H8">
        <v>0.24</v>
      </c>
      <c r="I8">
        <v>53</v>
      </c>
      <c r="J8">
        <v>187.97</v>
      </c>
      <c r="K8">
        <v>53.44</v>
      </c>
      <c r="L8">
        <v>2.5</v>
      </c>
      <c r="M8">
        <v>51</v>
      </c>
      <c r="N8">
        <v>37.03</v>
      </c>
      <c r="O8">
        <v>23416.52</v>
      </c>
      <c r="P8">
        <v>179.64</v>
      </c>
      <c r="Q8">
        <v>988.2</v>
      </c>
      <c r="R8">
        <v>70.36</v>
      </c>
      <c r="S8">
        <v>35.43</v>
      </c>
      <c r="T8">
        <v>16227.42</v>
      </c>
      <c r="U8">
        <v>0.5</v>
      </c>
      <c r="V8">
        <v>0.83</v>
      </c>
      <c r="W8">
        <v>3.06</v>
      </c>
      <c r="X8">
        <v>1.05</v>
      </c>
      <c r="Y8">
        <v>1</v>
      </c>
      <c r="Z8">
        <v>10</v>
      </c>
    </row>
    <row r="9" spans="1:26" x14ac:dyDescent="0.3">
      <c r="A9">
        <v>7</v>
      </c>
      <c r="B9">
        <v>95</v>
      </c>
      <c r="C9" t="s">
        <v>26</v>
      </c>
      <c r="D9">
        <v>5.5621</v>
      </c>
      <c r="E9">
        <v>17.98</v>
      </c>
      <c r="F9">
        <v>13.72</v>
      </c>
      <c r="G9">
        <v>17.149999999999999</v>
      </c>
      <c r="H9">
        <v>0.26</v>
      </c>
      <c r="I9">
        <v>48</v>
      </c>
      <c r="J9">
        <v>188.35</v>
      </c>
      <c r="K9">
        <v>53.44</v>
      </c>
      <c r="L9">
        <v>2.75</v>
      </c>
      <c r="M9">
        <v>46</v>
      </c>
      <c r="N9">
        <v>37.159999999999997</v>
      </c>
      <c r="O9">
        <v>23463.4</v>
      </c>
      <c r="P9">
        <v>177.4</v>
      </c>
      <c r="Q9">
        <v>988.19</v>
      </c>
      <c r="R9">
        <v>67.400000000000006</v>
      </c>
      <c r="S9">
        <v>35.43</v>
      </c>
      <c r="T9">
        <v>14769.8</v>
      </c>
      <c r="U9">
        <v>0.53</v>
      </c>
      <c r="V9">
        <v>0.83</v>
      </c>
      <c r="W9">
        <v>3.06</v>
      </c>
      <c r="X9">
        <v>0.97</v>
      </c>
      <c r="Y9">
        <v>1</v>
      </c>
      <c r="Z9">
        <v>10</v>
      </c>
    </row>
    <row r="10" spans="1:26" x14ac:dyDescent="0.3">
      <c r="A10">
        <v>8</v>
      </c>
      <c r="B10">
        <v>95</v>
      </c>
      <c r="C10" t="s">
        <v>26</v>
      </c>
      <c r="D10">
        <v>5.6627000000000001</v>
      </c>
      <c r="E10">
        <v>17.66</v>
      </c>
      <c r="F10">
        <v>13.59</v>
      </c>
      <c r="G10">
        <v>18.96</v>
      </c>
      <c r="H10">
        <v>0.28000000000000003</v>
      </c>
      <c r="I10">
        <v>43</v>
      </c>
      <c r="J10">
        <v>188.73</v>
      </c>
      <c r="K10">
        <v>53.44</v>
      </c>
      <c r="L10">
        <v>3</v>
      </c>
      <c r="M10">
        <v>41</v>
      </c>
      <c r="N10">
        <v>37.29</v>
      </c>
      <c r="O10">
        <v>23510.33</v>
      </c>
      <c r="P10">
        <v>174.64</v>
      </c>
      <c r="Q10">
        <v>988.26</v>
      </c>
      <c r="R10">
        <v>63.74</v>
      </c>
      <c r="S10">
        <v>35.43</v>
      </c>
      <c r="T10">
        <v>12965.76</v>
      </c>
      <c r="U10">
        <v>0.56000000000000005</v>
      </c>
      <c r="V10">
        <v>0.84</v>
      </c>
      <c r="W10">
        <v>3.03</v>
      </c>
      <c r="X10">
        <v>0.83</v>
      </c>
      <c r="Y10">
        <v>1</v>
      </c>
      <c r="Z10">
        <v>10</v>
      </c>
    </row>
    <row r="11" spans="1:26" x14ac:dyDescent="0.3">
      <c r="A11">
        <v>9</v>
      </c>
      <c r="B11">
        <v>95</v>
      </c>
      <c r="C11" t="s">
        <v>26</v>
      </c>
      <c r="D11">
        <v>5.7125000000000004</v>
      </c>
      <c r="E11">
        <v>17.510000000000002</v>
      </c>
      <c r="F11">
        <v>13.55</v>
      </c>
      <c r="G11">
        <v>20.32</v>
      </c>
      <c r="H11">
        <v>0.3</v>
      </c>
      <c r="I11">
        <v>40</v>
      </c>
      <c r="J11">
        <v>189.11</v>
      </c>
      <c r="K11">
        <v>53.44</v>
      </c>
      <c r="L11">
        <v>3.25</v>
      </c>
      <c r="M11">
        <v>38</v>
      </c>
      <c r="N11">
        <v>37.42</v>
      </c>
      <c r="O11">
        <v>23557.3</v>
      </c>
      <c r="P11">
        <v>173.06</v>
      </c>
      <c r="Q11">
        <v>988.29</v>
      </c>
      <c r="R11">
        <v>62.52</v>
      </c>
      <c r="S11">
        <v>35.43</v>
      </c>
      <c r="T11">
        <v>12369.79</v>
      </c>
      <c r="U11">
        <v>0.56999999999999995</v>
      </c>
      <c r="V11">
        <v>0.84</v>
      </c>
      <c r="W11">
        <v>3.03</v>
      </c>
      <c r="X11">
        <v>0.79</v>
      </c>
      <c r="Y11">
        <v>1</v>
      </c>
      <c r="Z11">
        <v>10</v>
      </c>
    </row>
    <row r="12" spans="1:26" x14ac:dyDescent="0.3">
      <c r="A12">
        <v>10</v>
      </c>
      <c r="B12">
        <v>95</v>
      </c>
      <c r="C12" t="s">
        <v>26</v>
      </c>
      <c r="D12">
        <v>5.79</v>
      </c>
      <c r="E12">
        <v>17.27</v>
      </c>
      <c r="F12">
        <v>13.46</v>
      </c>
      <c r="G12">
        <v>22.44</v>
      </c>
      <c r="H12">
        <v>0.33</v>
      </c>
      <c r="I12">
        <v>36</v>
      </c>
      <c r="J12">
        <v>189.49</v>
      </c>
      <c r="K12">
        <v>53.44</v>
      </c>
      <c r="L12">
        <v>3.5</v>
      </c>
      <c r="M12">
        <v>34</v>
      </c>
      <c r="N12">
        <v>37.549999999999997</v>
      </c>
      <c r="O12">
        <v>23604.32</v>
      </c>
      <c r="P12">
        <v>170.76</v>
      </c>
      <c r="Q12">
        <v>988.13</v>
      </c>
      <c r="R12">
        <v>59.77</v>
      </c>
      <c r="S12">
        <v>35.43</v>
      </c>
      <c r="T12">
        <v>11014.92</v>
      </c>
      <c r="U12">
        <v>0.59</v>
      </c>
      <c r="V12">
        <v>0.85</v>
      </c>
      <c r="W12">
        <v>3.02</v>
      </c>
      <c r="X12">
        <v>0.71</v>
      </c>
      <c r="Y12">
        <v>1</v>
      </c>
      <c r="Z12">
        <v>10</v>
      </c>
    </row>
    <row r="13" spans="1:26" x14ac:dyDescent="0.3">
      <c r="A13">
        <v>11</v>
      </c>
      <c r="B13">
        <v>95</v>
      </c>
      <c r="C13" t="s">
        <v>26</v>
      </c>
      <c r="D13">
        <v>5.8329000000000004</v>
      </c>
      <c r="E13">
        <v>17.14</v>
      </c>
      <c r="F13">
        <v>13.41</v>
      </c>
      <c r="G13">
        <v>23.66</v>
      </c>
      <c r="H13">
        <v>0.35</v>
      </c>
      <c r="I13">
        <v>34</v>
      </c>
      <c r="J13">
        <v>189.87</v>
      </c>
      <c r="K13">
        <v>53.44</v>
      </c>
      <c r="L13">
        <v>3.75</v>
      </c>
      <c r="M13">
        <v>32</v>
      </c>
      <c r="N13">
        <v>37.69</v>
      </c>
      <c r="O13">
        <v>23651.38</v>
      </c>
      <c r="P13">
        <v>169.19</v>
      </c>
      <c r="Q13">
        <v>988.11</v>
      </c>
      <c r="R13">
        <v>57.99</v>
      </c>
      <c r="S13">
        <v>35.43</v>
      </c>
      <c r="T13">
        <v>10135.6</v>
      </c>
      <c r="U13">
        <v>0.61</v>
      </c>
      <c r="V13">
        <v>0.85</v>
      </c>
      <c r="W13">
        <v>3.02</v>
      </c>
      <c r="X13">
        <v>0.66</v>
      </c>
      <c r="Y13">
        <v>1</v>
      </c>
      <c r="Z13">
        <v>10</v>
      </c>
    </row>
    <row r="14" spans="1:26" x14ac:dyDescent="0.3">
      <c r="A14">
        <v>12</v>
      </c>
      <c r="B14">
        <v>95</v>
      </c>
      <c r="C14" t="s">
        <v>26</v>
      </c>
      <c r="D14">
        <v>5.8872999999999998</v>
      </c>
      <c r="E14">
        <v>16.989999999999998</v>
      </c>
      <c r="F14">
        <v>13.36</v>
      </c>
      <c r="G14">
        <v>25.86</v>
      </c>
      <c r="H14">
        <v>0.37</v>
      </c>
      <c r="I14">
        <v>31</v>
      </c>
      <c r="J14">
        <v>190.25</v>
      </c>
      <c r="K14">
        <v>53.44</v>
      </c>
      <c r="L14">
        <v>4</v>
      </c>
      <c r="M14">
        <v>29</v>
      </c>
      <c r="N14">
        <v>37.82</v>
      </c>
      <c r="O14">
        <v>23698.48</v>
      </c>
      <c r="P14">
        <v>167.55</v>
      </c>
      <c r="Q14">
        <v>988.24</v>
      </c>
      <c r="R14">
        <v>56.67</v>
      </c>
      <c r="S14">
        <v>35.43</v>
      </c>
      <c r="T14">
        <v>9490.8799999999992</v>
      </c>
      <c r="U14">
        <v>0.63</v>
      </c>
      <c r="V14">
        <v>0.85</v>
      </c>
      <c r="W14">
        <v>3.02</v>
      </c>
      <c r="X14">
        <v>0.61</v>
      </c>
      <c r="Y14">
        <v>1</v>
      </c>
      <c r="Z14">
        <v>10</v>
      </c>
    </row>
    <row r="15" spans="1:26" x14ac:dyDescent="0.3">
      <c r="A15">
        <v>13</v>
      </c>
      <c r="B15">
        <v>95</v>
      </c>
      <c r="C15" t="s">
        <v>26</v>
      </c>
      <c r="D15">
        <v>5.9326999999999996</v>
      </c>
      <c r="E15">
        <v>16.86</v>
      </c>
      <c r="F15">
        <v>13.31</v>
      </c>
      <c r="G15">
        <v>27.53</v>
      </c>
      <c r="H15">
        <v>0.4</v>
      </c>
      <c r="I15">
        <v>29</v>
      </c>
      <c r="J15">
        <v>190.63</v>
      </c>
      <c r="K15">
        <v>53.44</v>
      </c>
      <c r="L15">
        <v>4.25</v>
      </c>
      <c r="M15">
        <v>27</v>
      </c>
      <c r="N15">
        <v>37.950000000000003</v>
      </c>
      <c r="O15">
        <v>23745.63</v>
      </c>
      <c r="P15">
        <v>165.67</v>
      </c>
      <c r="Q15">
        <v>988.19</v>
      </c>
      <c r="R15">
        <v>54.9</v>
      </c>
      <c r="S15">
        <v>35.43</v>
      </c>
      <c r="T15">
        <v>8615.6</v>
      </c>
      <c r="U15">
        <v>0.65</v>
      </c>
      <c r="V15">
        <v>0.86</v>
      </c>
      <c r="W15">
        <v>3.01</v>
      </c>
      <c r="X15">
        <v>0.55000000000000004</v>
      </c>
      <c r="Y15">
        <v>1</v>
      </c>
      <c r="Z15">
        <v>10</v>
      </c>
    </row>
    <row r="16" spans="1:26" x14ac:dyDescent="0.3">
      <c r="A16">
        <v>14</v>
      </c>
      <c r="B16">
        <v>95</v>
      </c>
      <c r="C16" t="s">
        <v>26</v>
      </c>
      <c r="D16">
        <v>5.9421999999999997</v>
      </c>
      <c r="E16">
        <v>16.829999999999998</v>
      </c>
      <c r="F16">
        <v>13.32</v>
      </c>
      <c r="G16">
        <v>28.54</v>
      </c>
      <c r="H16">
        <v>0.42</v>
      </c>
      <c r="I16">
        <v>28</v>
      </c>
      <c r="J16">
        <v>191.02</v>
      </c>
      <c r="K16">
        <v>53.44</v>
      </c>
      <c r="L16">
        <v>4.5</v>
      </c>
      <c r="M16">
        <v>26</v>
      </c>
      <c r="N16">
        <v>38.08</v>
      </c>
      <c r="O16">
        <v>23792.83</v>
      </c>
      <c r="P16">
        <v>164.68</v>
      </c>
      <c r="Q16">
        <v>988.21</v>
      </c>
      <c r="R16">
        <v>55.36</v>
      </c>
      <c r="S16">
        <v>35.43</v>
      </c>
      <c r="T16">
        <v>8850.42</v>
      </c>
      <c r="U16">
        <v>0.64</v>
      </c>
      <c r="V16">
        <v>0.86</v>
      </c>
      <c r="W16">
        <v>3.01</v>
      </c>
      <c r="X16">
        <v>0.56000000000000005</v>
      </c>
      <c r="Y16">
        <v>1</v>
      </c>
      <c r="Z16">
        <v>10</v>
      </c>
    </row>
    <row r="17" spans="1:26" x14ac:dyDescent="0.3">
      <c r="A17">
        <v>15</v>
      </c>
      <c r="B17">
        <v>95</v>
      </c>
      <c r="C17" t="s">
        <v>26</v>
      </c>
      <c r="D17">
        <v>5.9890999999999996</v>
      </c>
      <c r="E17">
        <v>16.7</v>
      </c>
      <c r="F17">
        <v>13.26</v>
      </c>
      <c r="G17">
        <v>30.6</v>
      </c>
      <c r="H17">
        <v>0.44</v>
      </c>
      <c r="I17">
        <v>26</v>
      </c>
      <c r="J17">
        <v>191.4</v>
      </c>
      <c r="K17">
        <v>53.44</v>
      </c>
      <c r="L17">
        <v>4.75</v>
      </c>
      <c r="M17">
        <v>24</v>
      </c>
      <c r="N17">
        <v>38.22</v>
      </c>
      <c r="O17">
        <v>23840.07</v>
      </c>
      <c r="P17">
        <v>163.03</v>
      </c>
      <c r="Q17">
        <v>988.15</v>
      </c>
      <c r="R17">
        <v>53.29</v>
      </c>
      <c r="S17">
        <v>35.43</v>
      </c>
      <c r="T17">
        <v>7826.92</v>
      </c>
      <c r="U17">
        <v>0.66</v>
      </c>
      <c r="V17">
        <v>0.86</v>
      </c>
      <c r="W17">
        <v>3.01</v>
      </c>
      <c r="X17">
        <v>0.51</v>
      </c>
      <c r="Y17">
        <v>1</v>
      </c>
      <c r="Z17">
        <v>10</v>
      </c>
    </row>
    <row r="18" spans="1:26" x14ac:dyDescent="0.3">
      <c r="A18">
        <v>16</v>
      </c>
      <c r="B18">
        <v>95</v>
      </c>
      <c r="C18" t="s">
        <v>26</v>
      </c>
      <c r="D18">
        <v>6.0124000000000004</v>
      </c>
      <c r="E18">
        <v>16.63</v>
      </c>
      <c r="F18">
        <v>13.23</v>
      </c>
      <c r="G18">
        <v>31.76</v>
      </c>
      <c r="H18">
        <v>0.46</v>
      </c>
      <c r="I18">
        <v>25</v>
      </c>
      <c r="J18">
        <v>191.78</v>
      </c>
      <c r="K18">
        <v>53.44</v>
      </c>
      <c r="L18">
        <v>5</v>
      </c>
      <c r="M18">
        <v>23</v>
      </c>
      <c r="N18">
        <v>38.35</v>
      </c>
      <c r="O18">
        <v>23887.360000000001</v>
      </c>
      <c r="P18">
        <v>161.38999999999999</v>
      </c>
      <c r="Q18">
        <v>988.13</v>
      </c>
      <c r="R18">
        <v>52.55</v>
      </c>
      <c r="S18">
        <v>35.43</v>
      </c>
      <c r="T18">
        <v>7460.3</v>
      </c>
      <c r="U18">
        <v>0.67</v>
      </c>
      <c r="V18">
        <v>0.86</v>
      </c>
      <c r="W18">
        <v>3.01</v>
      </c>
      <c r="X18">
        <v>0.48</v>
      </c>
      <c r="Y18">
        <v>1</v>
      </c>
      <c r="Z18">
        <v>10</v>
      </c>
    </row>
    <row r="19" spans="1:26" x14ac:dyDescent="0.3">
      <c r="A19">
        <v>17</v>
      </c>
      <c r="B19">
        <v>95</v>
      </c>
      <c r="C19" t="s">
        <v>26</v>
      </c>
      <c r="D19">
        <v>6.0518000000000001</v>
      </c>
      <c r="E19">
        <v>16.52</v>
      </c>
      <c r="F19">
        <v>13.2</v>
      </c>
      <c r="G19">
        <v>34.43</v>
      </c>
      <c r="H19">
        <v>0.48</v>
      </c>
      <c r="I19">
        <v>23</v>
      </c>
      <c r="J19">
        <v>192.17</v>
      </c>
      <c r="K19">
        <v>53.44</v>
      </c>
      <c r="L19">
        <v>5.25</v>
      </c>
      <c r="M19">
        <v>21</v>
      </c>
      <c r="N19">
        <v>38.479999999999997</v>
      </c>
      <c r="O19">
        <v>23934.69</v>
      </c>
      <c r="P19">
        <v>159.88999999999999</v>
      </c>
      <c r="Q19">
        <v>988.11</v>
      </c>
      <c r="R19">
        <v>51.71</v>
      </c>
      <c r="S19">
        <v>35.43</v>
      </c>
      <c r="T19">
        <v>7052.45</v>
      </c>
      <c r="U19">
        <v>0.69</v>
      </c>
      <c r="V19">
        <v>0.86</v>
      </c>
      <c r="W19">
        <v>3</v>
      </c>
      <c r="X19">
        <v>0.45</v>
      </c>
      <c r="Y19">
        <v>1</v>
      </c>
      <c r="Z19">
        <v>10</v>
      </c>
    </row>
    <row r="20" spans="1:26" x14ac:dyDescent="0.3">
      <c r="A20">
        <v>18</v>
      </c>
      <c r="B20">
        <v>95</v>
      </c>
      <c r="C20" t="s">
        <v>26</v>
      </c>
      <c r="D20">
        <v>6.0754999999999999</v>
      </c>
      <c r="E20">
        <v>16.46</v>
      </c>
      <c r="F20">
        <v>13.17</v>
      </c>
      <c r="G20">
        <v>35.92</v>
      </c>
      <c r="H20">
        <v>0.51</v>
      </c>
      <c r="I20">
        <v>22</v>
      </c>
      <c r="J20">
        <v>192.55</v>
      </c>
      <c r="K20">
        <v>53.44</v>
      </c>
      <c r="L20">
        <v>5.5</v>
      </c>
      <c r="M20">
        <v>20</v>
      </c>
      <c r="N20">
        <v>38.619999999999997</v>
      </c>
      <c r="O20">
        <v>23982.06</v>
      </c>
      <c r="P20">
        <v>158.62</v>
      </c>
      <c r="Q20">
        <v>988.12</v>
      </c>
      <c r="R20">
        <v>50.66</v>
      </c>
      <c r="S20">
        <v>35.43</v>
      </c>
      <c r="T20">
        <v>6531.64</v>
      </c>
      <c r="U20">
        <v>0.7</v>
      </c>
      <c r="V20">
        <v>0.87</v>
      </c>
      <c r="W20">
        <v>3</v>
      </c>
      <c r="X20">
        <v>0.42</v>
      </c>
      <c r="Y20">
        <v>1</v>
      </c>
      <c r="Z20">
        <v>10</v>
      </c>
    </row>
    <row r="21" spans="1:26" x14ac:dyDescent="0.3">
      <c r="A21">
        <v>19</v>
      </c>
      <c r="B21">
        <v>95</v>
      </c>
      <c r="C21" t="s">
        <v>26</v>
      </c>
      <c r="D21">
        <v>6.0914999999999999</v>
      </c>
      <c r="E21">
        <v>16.420000000000002</v>
      </c>
      <c r="F21">
        <v>13.17</v>
      </c>
      <c r="G21">
        <v>37.619999999999997</v>
      </c>
      <c r="H21">
        <v>0.53</v>
      </c>
      <c r="I21">
        <v>21</v>
      </c>
      <c r="J21">
        <v>192.94</v>
      </c>
      <c r="K21">
        <v>53.44</v>
      </c>
      <c r="L21">
        <v>5.75</v>
      </c>
      <c r="M21">
        <v>19</v>
      </c>
      <c r="N21">
        <v>38.75</v>
      </c>
      <c r="O21">
        <v>24029.48</v>
      </c>
      <c r="P21">
        <v>157.21</v>
      </c>
      <c r="Q21">
        <v>988.09</v>
      </c>
      <c r="R21">
        <v>50.57</v>
      </c>
      <c r="S21">
        <v>35.43</v>
      </c>
      <c r="T21">
        <v>6492.51</v>
      </c>
      <c r="U21">
        <v>0.7</v>
      </c>
      <c r="V21">
        <v>0.87</v>
      </c>
      <c r="W21">
        <v>3</v>
      </c>
      <c r="X21">
        <v>0.41</v>
      </c>
      <c r="Y21">
        <v>1</v>
      </c>
      <c r="Z21">
        <v>10</v>
      </c>
    </row>
    <row r="22" spans="1:26" x14ac:dyDescent="0.3">
      <c r="A22">
        <v>20</v>
      </c>
      <c r="B22">
        <v>95</v>
      </c>
      <c r="C22" t="s">
        <v>26</v>
      </c>
      <c r="D22">
        <v>6.1222000000000003</v>
      </c>
      <c r="E22">
        <v>16.329999999999998</v>
      </c>
      <c r="F22">
        <v>13.12</v>
      </c>
      <c r="G22">
        <v>39.36</v>
      </c>
      <c r="H22">
        <v>0.55000000000000004</v>
      </c>
      <c r="I22">
        <v>20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155.78</v>
      </c>
      <c r="Q22">
        <v>988.18</v>
      </c>
      <c r="R22">
        <v>49.03</v>
      </c>
      <c r="S22">
        <v>35.43</v>
      </c>
      <c r="T22">
        <v>5727.66</v>
      </c>
      <c r="U22">
        <v>0.72</v>
      </c>
      <c r="V22">
        <v>0.87</v>
      </c>
      <c r="W22">
        <v>3</v>
      </c>
      <c r="X22">
        <v>0.37</v>
      </c>
      <c r="Y22">
        <v>1</v>
      </c>
      <c r="Z22">
        <v>10</v>
      </c>
    </row>
    <row r="23" spans="1:26" x14ac:dyDescent="0.3">
      <c r="A23">
        <v>21</v>
      </c>
      <c r="B23">
        <v>95</v>
      </c>
      <c r="C23" t="s">
        <v>26</v>
      </c>
      <c r="D23">
        <v>6.1441999999999997</v>
      </c>
      <c r="E23">
        <v>16.28</v>
      </c>
      <c r="F23">
        <v>13.1</v>
      </c>
      <c r="G23">
        <v>41.37</v>
      </c>
      <c r="H23">
        <v>0.56999999999999995</v>
      </c>
      <c r="I23">
        <v>19</v>
      </c>
      <c r="J23">
        <v>193.71</v>
      </c>
      <c r="K23">
        <v>53.44</v>
      </c>
      <c r="L23">
        <v>6.25</v>
      </c>
      <c r="M23">
        <v>17</v>
      </c>
      <c r="N23">
        <v>39.020000000000003</v>
      </c>
      <c r="O23">
        <v>24124.47</v>
      </c>
      <c r="P23">
        <v>154.24</v>
      </c>
      <c r="Q23">
        <v>988.18</v>
      </c>
      <c r="R23">
        <v>48.62</v>
      </c>
      <c r="S23">
        <v>35.43</v>
      </c>
      <c r="T23">
        <v>5527.27</v>
      </c>
      <c r="U23">
        <v>0.73</v>
      </c>
      <c r="V23">
        <v>0.87</v>
      </c>
      <c r="W23">
        <v>2.99</v>
      </c>
      <c r="X23">
        <v>0.35</v>
      </c>
      <c r="Y23">
        <v>1</v>
      </c>
      <c r="Z23">
        <v>10</v>
      </c>
    </row>
    <row r="24" spans="1:26" x14ac:dyDescent="0.3">
      <c r="A24">
        <v>22</v>
      </c>
      <c r="B24">
        <v>95</v>
      </c>
      <c r="C24" t="s">
        <v>26</v>
      </c>
      <c r="D24">
        <v>6.1628999999999996</v>
      </c>
      <c r="E24">
        <v>16.23</v>
      </c>
      <c r="F24">
        <v>13.09</v>
      </c>
      <c r="G24">
        <v>43.62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39.159999999999997</v>
      </c>
      <c r="O24">
        <v>24172.03</v>
      </c>
      <c r="P24">
        <v>152.96</v>
      </c>
      <c r="Q24">
        <v>988.2</v>
      </c>
      <c r="R24">
        <v>48.05</v>
      </c>
      <c r="S24">
        <v>35.43</v>
      </c>
      <c r="T24">
        <v>5245.37</v>
      </c>
      <c r="U24">
        <v>0.74</v>
      </c>
      <c r="V24">
        <v>0.87</v>
      </c>
      <c r="W24">
        <v>3</v>
      </c>
      <c r="X24">
        <v>0.33</v>
      </c>
      <c r="Y24">
        <v>1</v>
      </c>
      <c r="Z24">
        <v>10</v>
      </c>
    </row>
    <row r="25" spans="1:26" x14ac:dyDescent="0.3">
      <c r="A25">
        <v>23</v>
      </c>
      <c r="B25">
        <v>95</v>
      </c>
      <c r="C25" t="s">
        <v>26</v>
      </c>
      <c r="D25">
        <v>6.1806999999999999</v>
      </c>
      <c r="E25">
        <v>16.18</v>
      </c>
      <c r="F25">
        <v>13.08</v>
      </c>
      <c r="G25">
        <v>46.16</v>
      </c>
      <c r="H25">
        <v>0.62</v>
      </c>
      <c r="I25">
        <v>17</v>
      </c>
      <c r="J25">
        <v>194.48</v>
      </c>
      <c r="K25">
        <v>53.44</v>
      </c>
      <c r="L25">
        <v>6.75</v>
      </c>
      <c r="M25">
        <v>15</v>
      </c>
      <c r="N25">
        <v>39.29</v>
      </c>
      <c r="O25">
        <v>24219.63</v>
      </c>
      <c r="P25">
        <v>149.94</v>
      </c>
      <c r="Q25">
        <v>988.1</v>
      </c>
      <c r="R25">
        <v>47.92</v>
      </c>
      <c r="S25">
        <v>35.43</v>
      </c>
      <c r="T25">
        <v>5188.29</v>
      </c>
      <c r="U25">
        <v>0.74</v>
      </c>
      <c r="V25">
        <v>0.87</v>
      </c>
      <c r="W25">
        <v>2.99</v>
      </c>
      <c r="X25">
        <v>0.32</v>
      </c>
      <c r="Y25">
        <v>1</v>
      </c>
      <c r="Z25">
        <v>10</v>
      </c>
    </row>
    <row r="26" spans="1:26" x14ac:dyDescent="0.3">
      <c r="A26">
        <v>24</v>
      </c>
      <c r="B26">
        <v>95</v>
      </c>
      <c r="C26" t="s">
        <v>26</v>
      </c>
      <c r="D26">
        <v>6.1794000000000002</v>
      </c>
      <c r="E26">
        <v>16.18</v>
      </c>
      <c r="F26">
        <v>13.08</v>
      </c>
      <c r="G26">
        <v>46.17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15</v>
      </c>
      <c r="N26">
        <v>39.43</v>
      </c>
      <c r="O26">
        <v>24267.279999999999</v>
      </c>
      <c r="P26">
        <v>149.68</v>
      </c>
      <c r="Q26">
        <v>988.14</v>
      </c>
      <c r="R26">
        <v>48.01</v>
      </c>
      <c r="S26">
        <v>35.43</v>
      </c>
      <c r="T26">
        <v>5230.24</v>
      </c>
      <c r="U26">
        <v>0.74</v>
      </c>
      <c r="V26">
        <v>0.87</v>
      </c>
      <c r="W26">
        <v>2.99</v>
      </c>
      <c r="X26">
        <v>0.33</v>
      </c>
      <c r="Y26">
        <v>1</v>
      </c>
      <c r="Z26">
        <v>10</v>
      </c>
    </row>
    <row r="27" spans="1:26" x14ac:dyDescent="0.3">
      <c r="A27">
        <v>25</v>
      </c>
      <c r="B27">
        <v>95</v>
      </c>
      <c r="C27" t="s">
        <v>26</v>
      </c>
      <c r="D27">
        <v>6.2065999999999999</v>
      </c>
      <c r="E27">
        <v>16.11</v>
      </c>
      <c r="F27">
        <v>13.05</v>
      </c>
      <c r="G27">
        <v>48.93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148.66</v>
      </c>
      <c r="Q27">
        <v>988.09</v>
      </c>
      <c r="R27">
        <v>46.94</v>
      </c>
      <c r="S27">
        <v>35.43</v>
      </c>
      <c r="T27">
        <v>4700.28</v>
      </c>
      <c r="U27">
        <v>0.75</v>
      </c>
      <c r="V27">
        <v>0.87</v>
      </c>
      <c r="W27">
        <v>2.99</v>
      </c>
      <c r="X27">
        <v>0.28999999999999998</v>
      </c>
      <c r="Y27">
        <v>1</v>
      </c>
      <c r="Z27">
        <v>10</v>
      </c>
    </row>
    <row r="28" spans="1:26" x14ac:dyDescent="0.3">
      <c r="A28">
        <v>26</v>
      </c>
      <c r="B28">
        <v>95</v>
      </c>
      <c r="C28" t="s">
        <v>26</v>
      </c>
      <c r="D28">
        <v>6.2214999999999998</v>
      </c>
      <c r="E28">
        <v>16.07</v>
      </c>
      <c r="F28">
        <v>13.05</v>
      </c>
      <c r="G28">
        <v>52.19</v>
      </c>
      <c r="H28">
        <v>0.68</v>
      </c>
      <c r="I28">
        <v>15</v>
      </c>
      <c r="J28">
        <v>195.64</v>
      </c>
      <c r="K28">
        <v>53.44</v>
      </c>
      <c r="L28">
        <v>7.5</v>
      </c>
      <c r="M28">
        <v>13</v>
      </c>
      <c r="N28">
        <v>39.700000000000003</v>
      </c>
      <c r="O28">
        <v>24362.73</v>
      </c>
      <c r="P28">
        <v>146.51</v>
      </c>
      <c r="Q28">
        <v>988.08</v>
      </c>
      <c r="R28">
        <v>46.69</v>
      </c>
      <c r="S28">
        <v>35.43</v>
      </c>
      <c r="T28">
        <v>4579.46</v>
      </c>
      <c r="U28">
        <v>0.76</v>
      </c>
      <c r="V28">
        <v>0.87</v>
      </c>
      <c r="W28">
        <v>3</v>
      </c>
      <c r="X28">
        <v>0.28999999999999998</v>
      </c>
      <c r="Y28">
        <v>1</v>
      </c>
      <c r="Z28">
        <v>10</v>
      </c>
    </row>
    <row r="29" spans="1:26" x14ac:dyDescent="0.3">
      <c r="A29">
        <v>27</v>
      </c>
      <c r="B29">
        <v>95</v>
      </c>
      <c r="C29" t="s">
        <v>26</v>
      </c>
      <c r="D29">
        <v>6.2305999999999999</v>
      </c>
      <c r="E29">
        <v>16.05</v>
      </c>
      <c r="F29">
        <v>13.02</v>
      </c>
      <c r="G29">
        <v>52.09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39.840000000000003</v>
      </c>
      <c r="O29">
        <v>24410.52</v>
      </c>
      <c r="P29">
        <v>145.44</v>
      </c>
      <c r="Q29">
        <v>988.12</v>
      </c>
      <c r="R29">
        <v>46.22</v>
      </c>
      <c r="S29">
        <v>35.43</v>
      </c>
      <c r="T29">
        <v>4344.8500000000004</v>
      </c>
      <c r="U29">
        <v>0.77</v>
      </c>
      <c r="V29">
        <v>0.88</v>
      </c>
      <c r="W29">
        <v>2.99</v>
      </c>
      <c r="X29">
        <v>0.27</v>
      </c>
      <c r="Y29">
        <v>1</v>
      </c>
      <c r="Z29">
        <v>10</v>
      </c>
    </row>
    <row r="30" spans="1:26" x14ac:dyDescent="0.3">
      <c r="A30">
        <v>28</v>
      </c>
      <c r="B30">
        <v>95</v>
      </c>
      <c r="C30" t="s">
        <v>26</v>
      </c>
      <c r="D30">
        <v>6.2526000000000002</v>
      </c>
      <c r="E30">
        <v>15.99</v>
      </c>
      <c r="F30">
        <v>13</v>
      </c>
      <c r="G30">
        <v>55.73</v>
      </c>
      <c r="H30">
        <v>0.72</v>
      </c>
      <c r="I30">
        <v>14</v>
      </c>
      <c r="J30">
        <v>196.41</v>
      </c>
      <c r="K30">
        <v>53.44</v>
      </c>
      <c r="L30">
        <v>8</v>
      </c>
      <c r="M30">
        <v>12</v>
      </c>
      <c r="N30">
        <v>39.979999999999997</v>
      </c>
      <c r="O30">
        <v>24458.36</v>
      </c>
      <c r="P30">
        <v>143.63</v>
      </c>
      <c r="Q30">
        <v>988.1</v>
      </c>
      <c r="R30">
        <v>45.54</v>
      </c>
      <c r="S30">
        <v>35.43</v>
      </c>
      <c r="T30">
        <v>4010.82</v>
      </c>
      <c r="U30">
        <v>0.78</v>
      </c>
      <c r="V30">
        <v>0.88</v>
      </c>
      <c r="W30">
        <v>2.98</v>
      </c>
      <c r="X30">
        <v>0.25</v>
      </c>
      <c r="Y30">
        <v>1</v>
      </c>
      <c r="Z30">
        <v>10</v>
      </c>
    </row>
    <row r="31" spans="1:26" x14ac:dyDescent="0.3">
      <c r="A31">
        <v>29</v>
      </c>
      <c r="B31">
        <v>95</v>
      </c>
      <c r="C31" t="s">
        <v>26</v>
      </c>
      <c r="D31">
        <v>6.2556000000000003</v>
      </c>
      <c r="E31">
        <v>15.99</v>
      </c>
      <c r="F31">
        <v>13</v>
      </c>
      <c r="G31">
        <v>55.7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40.119999999999997</v>
      </c>
      <c r="O31">
        <v>24506.240000000002</v>
      </c>
      <c r="P31">
        <v>142.66</v>
      </c>
      <c r="Q31">
        <v>988.12</v>
      </c>
      <c r="R31">
        <v>45.17</v>
      </c>
      <c r="S31">
        <v>35.43</v>
      </c>
      <c r="T31">
        <v>3826.48</v>
      </c>
      <c r="U31">
        <v>0.78</v>
      </c>
      <c r="V31">
        <v>0.88</v>
      </c>
      <c r="W31">
        <v>2.99</v>
      </c>
      <c r="X31">
        <v>0.24</v>
      </c>
      <c r="Y31">
        <v>1</v>
      </c>
      <c r="Z31">
        <v>10</v>
      </c>
    </row>
    <row r="32" spans="1:26" x14ac:dyDescent="0.3">
      <c r="A32">
        <v>30</v>
      </c>
      <c r="B32">
        <v>95</v>
      </c>
      <c r="C32" t="s">
        <v>26</v>
      </c>
      <c r="D32">
        <v>6.2706</v>
      </c>
      <c r="E32">
        <v>15.95</v>
      </c>
      <c r="F32">
        <v>12.99</v>
      </c>
      <c r="G32">
        <v>59.98</v>
      </c>
      <c r="H32">
        <v>0.77</v>
      </c>
      <c r="I32">
        <v>13</v>
      </c>
      <c r="J32">
        <v>197.19</v>
      </c>
      <c r="K32">
        <v>53.44</v>
      </c>
      <c r="L32">
        <v>8.5</v>
      </c>
      <c r="M32">
        <v>11</v>
      </c>
      <c r="N32">
        <v>40.26</v>
      </c>
      <c r="O32">
        <v>24554.18</v>
      </c>
      <c r="P32">
        <v>140.88</v>
      </c>
      <c r="Q32">
        <v>988.17</v>
      </c>
      <c r="R32">
        <v>45.27</v>
      </c>
      <c r="S32">
        <v>35.43</v>
      </c>
      <c r="T32">
        <v>3879.17</v>
      </c>
      <c r="U32">
        <v>0.78</v>
      </c>
      <c r="V32">
        <v>0.88</v>
      </c>
      <c r="W32">
        <v>2.99</v>
      </c>
      <c r="X32">
        <v>0.24</v>
      </c>
      <c r="Y32">
        <v>1</v>
      </c>
      <c r="Z32">
        <v>10</v>
      </c>
    </row>
    <row r="33" spans="1:26" x14ac:dyDescent="0.3">
      <c r="A33">
        <v>31</v>
      </c>
      <c r="B33">
        <v>95</v>
      </c>
      <c r="C33" t="s">
        <v>26</v>
      </c>
      <c r="D33">
        <v>6.2713000000000001</v>
      </c>
      <c r="E33">
        <v>15.95</v>
      </c>
      <c r="F33">
        <v>12.99</v>
      </c>
      <c r="G33">
        <v>59.97</v>
      </c>
      <c r="H33">
        <v>0.79</v>
      </c>
      <c r="I33">
        <v>13</v>
      </c>
      <c r="J33">
        <v>197.58</v>
      </c>
      <c r="K33">
        <v>53.44</v>
      </c>
      <c r="L33">
        <v>8.75</v>
      </c>
      <c r="M33">
        <v>10</v>
      </c>
      <c r="N33">
        <v>40.39</v>
      </c>
      <c r="O33">
        <v>24602.15</v>
      </c>
      <c r="P33">
        <v>139.82</v>
      </c>
      <c r="Q33">
        <v>988.18</v>
      </c>
      <c r="R33">
        <v>45.17</v>
      </c>
      <c r="S33">
        <v>35.43</v>
      </c>
      <c r="T33">
        <v>3828.92</v>
      </c>
      <c r="U33">
        <v>0.78</v>
      </c>
      <c r="V33">
        <v>0.88</v>
      </c>
      <c r="W33">
        <v>2.99</v>
      </c>
      <c r="X33">
        <v>0.24</v>
      </c>
      <c r="Y33">
        <v>1</v>
      </c>
      <c r="Z33">
        <v>10</v>
      </c>
    </row>
    <row r="34" spans="1:26" x14ac:dyDescent="0.3">
      <c r="A34">
        <v>32</v>
      </c>
      <c r="B34">
        <v>95</v>
      </c>
      <c r="C34" t="s">
        <v>26</v>
      </c>
      <c r="D34">
        <v>6.2946999999999997</v>
      </c>
      <c r="E34">
        <v>15.89</v>
      </c>
      <c r="F34">
        <v>12.97</v>
      </c>
      <c r="G34">
        <v>64.86</v>
      </c>
      <c r="H34">
        <v>0.81</v>
      </c>
      <c r="I34">
        <v>12</v>
      </c>
      <c r="J34">
        <v>197.97</v>
      </c>
      <c r="K34">
        <v>53.44</v>
      </c>
      <c r="L34">
        <v>9</v>
      </c>
      <c r="M34">
        <v>6</v>
      </c>
      <c r="N34">
        <v>40.53</v>
      </c>
      <c r="O34">
        <v>24650.18</v>
      </c>
      <c r="P34">
        <v>137.16999999999999</v>
      </c>
      <c r="Q34">
        <v>988.16</v>
      </c>
      <c r="R34">
        <v>44.42</v>
      </c>
      <c r="S34">
        <v>35.43</v>
      </c>
      <c r="T34">
        <v>3461.38</v>
      </c>
      <c r="U34">
        <v>0.8</v>
      </c>
      <c r="V34">
        <v>0.88</v>
      </c>
      <c r="W34">
        <v>2.99</v>
      </c>
      <c r="X34">
        <v>0.22</v>
      </c>
      <c r="Y34">
        <v>1</v>
      </c>
      <c r="Z34">
        <v>10</v>
      </c>
    </row>
    <row r="35" spans="1:26" x14ac:dyDescent="0.3">
      <c r="A35">
        <v>33</v>
      </c>
      <c r="B35">
        <v>95</v>
      </c>
      <c r="C35" t="s">
        <v>26</v>
      </c>
      <c r="D35">
        <v>6.2953999999999999</v>
      </c>
      <c r="E35">
        <v>15.88</v>
      </c>
      <c r="F35">
        <v>12.97</v>
      </c>
      <c r="G35">
        <v>64.849999999999994</v>
      </c>
      <c r="H35">
        <v>0.83</v>
      </c>
      <c r="I35">
        <v>12</v>
      </c>
      <c r="J35">
        <v>198.36</v>
      </c>
      <c r="K35">
        <v>53.44</v>
      </c>
      <c r="L35">
        <v>9.25</v>
      </c>
      <c r="M35">
        <v>4</v>
      </c>
      <c r="N35">
        <v>40.67</v>
      </c>
      <c r="O35">
        <v>24698.26</v>
      </c>
      <c r="P35">
        <v>137.16999999999999</v>
      </c>
      <c r="Q35">
        <v>988.1</v>
      </c>
      <c r="R35">
        <v>44.33</v>
      </c>
      <c r="S35">
        <v>35.43</v>
      </c>
      <c r="T35">
        <v>3415.92</v>
      </c>
      <c r="U35">
        <v>0.8</v>
      </c>
      <c r="V35">
        <v>0.88</v>
      </c>
      <c r="W35">
        <v>2.99</v>
      </c>
      <c r="X35">
        <v>0.22</v>
      </c>
      <c r="Y35">
        <v>1</v>
      </c>
      <c r="Z35">
        <v>10</v>
      </c>
    </row>
    <row r="36" spans="1:26" x14ac:dyDescent="0.3">
      <c r="A36">
        <v>34</v>
      </c>
      <c r="B36">
        <v>95</v>
      </c>
      <c r="C36" t="s">
        <v>26</v>
      </c>
      <c r="D36">
        <v>6.2925000000000004</v>
      </c>
      <c r="E36">
        <v>15.89</v>
      </c>
      <c r="F36">
        <v>12.98</v>
      </c>
      <c r="G36">
        <v>64.88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3</v>
      </c>
      <c r="N36">
        <v>40.81</v>
      </c>
      <c r="O36">
        <v>24746.38</v>
      </c>
      <c r="P36">
        <v>136.91</v>
      </c>
      <c r="Q36">
        <v>988.12</v>
      </c>
      <c r="R36">
        <v>44.29</v>
      </c>
      <c r="S36">
        <v>35.43</v>
      </c>
      <c r="T36">
        <v>3398.09</v>
      </c>
      <c r="U36">
        <v>0.8</v>
      </c>
      <c r="V36">
        <v>0.88</v>
      </c>
      <c r="W36">
        <v>2.99</v>
      </c>
      <c r="X36">
        <v>0.22</v>
      </c>
      <c r="Y36">
        <v>1</v>
      </c>
      <c r="Z36">
        <v>10</v>
      </c>
    </row>
    <row r="37" spans="1:26" x14ac:dyDescent="0.3">
      <c r="A37">
        <v>35</v>
      </c>
      <c r="B37">
        <v>95</v>
      </c>
      <c r="C37" t="s">
        <v>26</v>
      </c>
      <c r="D37">
        <v>6.2949999999999999</v>
      </c>
      <c r="E37">
        <v>15.89</v>
      </c>
      <c r="F37">
        <v>12.97</v>
      </c>
      <c r="G37">
        <v>64.849999999999994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2</v>
      </c>
      <c r="N37">
        <v>40.950000000000003</v>
      </c>
      <c r="O37">
        <v>24794.55</v>
      </c>
      <c r="P37">
        <v>136.72999999999999</v>
      </c>
      <c r="Q37">
        <v>988.14</v>
      </c>
      <c r="R37">
        <v>44.21</v>
      </c>
      <c r="S37">
        <v>35.43</v>
      </c>
      <c r="T37">
        <v>3357.01</v>
      </c>
      <c r="U37">
        <v>0.8</v>
      </c>
      <c r="V37">
        <v>0.88</v>
      </c>
      <c r="W37">
        <v>2.99</v>
      </c>
      <c r="X37">
        <v>0.22</v>
      </c>
      <c r="Y37">
        <v>1</v>
      </c>
      <c r="Z37">
        <v>10</v>
      </c>
    </row>
    <row r="38" spans="1:26" x14ac:dyDescent="0.3">
      <c r="A38">
        <v>36</v>
      </c>
      <c r="B38">
        <v>95</v>
      </c>
      <c r="C38" t="s">
        <v>26</v>
      </c>
      <c r="D38">
        <v>6.2938999999999998</v>
      </c>
      <c r="E38">
        <v>15.89</v>
      </c>
      <c r="F38">
        <v>12.97</v>
      </c>
      <c r="G38">
        <v>64.87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0</v>
      </c>
      <c r="N38">
        <v>41.1</v>
      </c>
      <c r="O38">
        <v>24842.77</v>
      </c>
      <c r="P38">
        <v>136.85</v>
      </c>
      <c r="Q38">
        <v>988.18</v>
      </c>
      <c r="R38">
        <v>44.14</v>
      </c>
      <c r="S38">
        <v>35.43</v>
      </c>
      <c r="T38">
        <v>3320.2</v>
      </c>
      <c r="U38">
        <v>0.8</v>
      </c>
      <c r="V38">
        <v>0.88</v>
      </c>
      <c r="W38">
        <v>3</v>
      </c>
      <c r="X38">
        <v>0.22</v>
      </c>
      <c r="Y38">
        <v>1</v>
      </c>
      <c r="Z3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ilha29"/>
  <dimension ref="A1:Z17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55</v>
      </c>
      <c r="C2" t="s">
        <v>26</v>
      </c>
      <c r="D2">
        <v>5.1524000000000001</v>
      </c>
      <c r="E2">
        <v>19.41</v>
      </c>
      <c r="F2">
        <v>14.84</v>
      </c>
      <c r="G2">
        <v>8.56</v>
      </c>
      <c r="H2">
        <v>0.15</v>
      </c>
      <c r="I2">
        <v>104</v>
      </c>
      <c r="J2">
        <v>116.05</v>
      </c>
      <c r="K2">
        <v>43.4</v>
      </c>
      <c r="L2">
        <v>1</v>
      </c>
      <c r="M2">
        <v>102</v>
      </c>
      <c r="N2">
        <v>16.649999999999999</v>
      </c>
      <c r="O2">
        <v>14546.17</v>
      </c>
      <c r="P2">
        <v>143.91</v>
      </c>
      <c r="Q2">
        <v>988.57</v>
      </c>
      <c r="R2">
        <v>102.63</v>
      </c>
      <c r="S2">
        <v>35.43</v>
      </c>
      <c r="T2">
        <v>32106.22</v>
      </c>
      <c r="U2">
        <v>0.35</v>
      </c>
      <c r="V2">
        <v>0.77</v>
      </c>
      <c r="W2">
        <v>3.13</v>
      </c>
      <c r="X2">
        <v>2.08</v>
      </c>
      <c r="Y2">
        <v>1</v>
      </c>
      <c r="Z2">
        <v>10</v>
      </c>
    </row>
    <row r="3" spans="1:26" x14ac:dyDescent="0.3">
      <c r="A3">
        <v>1</v>
      </c>
      <c r="B3">
        <v>55</v>
      </c>
      <c r="C3" t="s">
        <v>26</v>
      </c>
      <c r="D3">
        <v>5.4526000000000003</v>
      </c>
      <c r="E3">
        <v>18.34</v>
      </c>
      <c r="F3">
        <v>14.34</v>
      </c>
      <c r="G3">
        <v>10.76</v>
      </c>
      <c r="H3">
        <v>0.19</v>
      </c>
      <c r="I3">
        <v>80</v>
      </c>
      <c r="J3">
        <v>116.37</v>
      </c>
      <c r="K3">
        <v>43.4</v>
      </c>
      <c r="L3">
        <v>1.25</v>
      </c>
      <c r="M3">
        <v>78</v>
      </c>
      <c r="N3">
        <v>16.72</v>
      </c>
      <c r="O3">
        <v>14585.96</v>
      </c>
      <c r="P3">
        <v>137.37</v>
      </c>
      <c r="Q3">
        <v>988.39</v>
      </c>
      <c r="R3">
        <v>87.1</v>
      </c>
      <c r="S3">
        <v>35.43</v>
      </c>
      <c r="T3">
        <v>24460.32</v>
      </c>
      <c r="U3">
        <v>0.41</v>
      </c>
      <c r="V3">
        <v>0.79</v>
      </c>
      <c r="W3">
        <v>3.1</v>
      </c>
      <c r="X3">
        <v>1.59</v>
      </c>
      <c r="Y3">
        <v>1</v>
      </c>
      <c r="Z3">
        <v>10</v>
      </c>
    </row>
    <row r="4" spans="1:26" x14ac:dyDescent="0.3">
      <c r="A4">
        <v>2</v>
      </c>
      <c r="B4">
        <v>55</v>
      </c>
      <c r="C4" t="s">
        <v>26</v>
      </c>
      <c r="D4">
        <v>5.6562000000000001</v>
      </c>
      <c r="E4">
        <v>17.68</v>
      </c>
      <c r="F4">
        <v>14.04</v>
      </c>
      <c r="G4">
        <v>12.96</v>
      </c>
      <c r="H4">
        <v>0.23</v>
      </c>
      <c r="I4">
        <v>65</v>
      </c>
      <c r="J4">
        <v>116.69</v>
      </c>
      <c r="K4">
        <v>43.4</v>
      </c>
      <c r="L4">
        <v>1.5</v>
      </c>
      <c r="M4">
        <v>63</v>
      </c>
      <c r="N4">
        <v>16.79</v>
      </c>
      <c r="O4">
        <v>14625.77</v>
      </c>
      <c r="P4">
        <v>132.5</v>
      </c>
      <c r="Q4">
        <v>988.22</v>
      </c>
      <c r="R4">
        <v>77.709999999999994</v>
      </c>
      <c r="S4">
        <v>35.43</v>
      </c>
      <c r="T4">
        <v>19843.05</v>
      </c>
      <c r="U4">
        <v>0.46</v>
      </c>
      <c r="V4">
        <v>0.81</v>
      </c>
      <c r="W4">
        <v>3.07</v>
      </c>
      <c r="X4">
        <v>1.29</v>
      </c>
      <c r="Y4">
        <v>1</v>
      </c>
      <c r="Z4">
        <v>10</v>
      </c>
    </row>
    <row r="5" spans="1:26" x14ac:dyDescent="0.3">
      <c r="A5">
        <v>3</v>
      </c>
      <c r="B5">
        <v>55</v>
      </c>
      <c r="C5" t="s">
        <v>26</v>
      </c>
      <c r="D5">
        <v>5.8129999999999997</v>
      </c>
      <c r="E5">
        <v>17.2</v>
      </c>
      <c r="F5">
        <v>13.83</v>
      </c>
      <c r="G5">
        <v>15.37</v>
      </c>
      <c r="H5">
        <v>0.26</v>
      </c>
      <c r="I5">
        <v>54</v>
      </c>
      <c r="J5">
        <v>117.01</v>
      </c>
      <c r="K5">
        <v>43.4</v>
      </c>
      <c r="L5">
        <v>1.75</v>
      </c>
      <c r="M5">
        <v>52</v>
      </c>
      <c r="N5">
        <v>16.86</v>
      </c>
      <c r="O5">
        <v>14665.62</v>
      </c>
      <c r="P5">
        <v>128.79</v>
      </c>
      <c r="Q5">
        <v>988.14</v>
      </c>
      <c r="R5">
        <v>71.27</v>
      </c>
      <c r="S5">
        <v>35.43</v>
      </c>
      <c r="T5">
        <v>16676.740000000002</v>
      </c>
      <c r="U5">
        <v>0.5</v>
      </c>
      <c r="V5">
        <v>0.82</v>
      </c>
      <c r="W5">
        <v>3.05</v>
      </c>
      <c r="X5">
        <v>1.07</v>
      </c>
      <c r="Y5">
        <v>1</v>
      </c>
      <c r="Z5">
        <v>10</v>
      </c>
    </row>
    <row r="6" spans="1:26" x14ac:dyDescent="0.3">
      <c r="A6">
        <v>4</v>
      </c>
      <c r="B6">
        <v>55</v>
      </c>
      <c r="C6" t="s">
        <v>26</v>
      </c>
      <c r="D6">
        <v>5.9452999999999996</v>
      </c>
      <c r="E6">
        <v>16.82</v>
      </c>
      <c r="F6">
        <v>13.64</v>
      </c>
      <c r="G6">
        <v>17.79</v>
      </c>
      <c r="H6">
        <v>0.3</v>
      </c>
      <c r="I6">
        <v>46</v>
      </c>
      <c r="J6">
        <v>117.34</v>
      </c>
      <c r="K6">
        <v>43.4</v>
      </c>
      <c r="L6">
        <v>2</v>
      </c>
      <c r="M6">
        <v>44</v>
      </c>
      <c r="N6">
        <v>16.940000000000001</v>
      </c>
      <c r="O6">
        <v>14705.49</v>
      </c>
      <c r="P6">
        <v>124.98</v>
      </c>
      <c r="Q6">
        <v>988.24</v>
      </c>
      <c r="R6">
        <v>65.28</v>
      </c>
      <c r="S6">
        <v>35.43</v>
      </c>
      <c r="T6">
        <v>13721.64</v>
      </c>
      <c r="U6">
        <v>0.54</v>
      </c>
      <c r="V6">
        <v>0.84</v>
      </c>
      <c r="W6">
        <v>3.03</v>
      </c>
      <c r="X6">
        <v>0.88</v>
      </c>
      <c r="Y6">
        <v>1</v>
      </c>
      <c r="Z6">
        <v>10</v>
      </c>
    </row>
    <row r="7" spans="1:26" x14ac:dyDescent="0.3">
      <c r="A7">
        <v>5</v>
      </c>
      <c r="B7">
        <v>55</v>
      </c>
      <c r="C7" t="s">
        <v>26</v>
      </c>
      <c r="D7">
        <v>6.0331999999999999</v>
      </c>
      <c r="E7">
        <v>16.579999999999998</v>
      </c>
      <c r="F7">
        <v>13.54</v>
      </c>
      <c r="G7">
        <v>20.3</v>
      </c>
      <c r="H7">
        <v>0.34</v>
      </c>
      <c r="I7">
        <v>40</v>
      </c>
      <c r="J7">
        <v>117.66</v>
      </c>
      <c r="K7">
        <v>43.4</v>
      </c>
      <c r="L7">
        <v>2.25</v>
      </c>
      <c r="M7">
        <v>38</v>
      </c>
      <c r="N7">
        <v>17.010000000000002</v>
      </c>
      <c r="O7">
        <v>14745.39</v>
      </c>
      <c r="P7">
        <v>122.23</v>
      </c>
      <c r="Q7">
        <v>988.28</v>
      </c>
      <c r="R7">
        <v>61.61</v>
      </c>
      <c r="S7">
        <v>35.43</v>
      </c>
      <c r="T7">
        <v>11916.07</v>
      </c>
      <c r="U7">
        <v>0.57999999999999996</v>
      </c>
      <c r="V7">
        <v>0.84</v>
      </c>
      <c r="W7">
        <v>3.04</v>
      </c>
      <c r="X7">
        <v>0.78</v>
      </c>
      <c r="Y7">
        <v>1</v>
      </c>
      <c r="Z7">
        <v>10</v>
      </c>
    </row>
    <row r="8" spans="1:26" x14ac:dyDescent="0.3">
      <c r="A8">
        <v>6</v>
      </c>
      <c r="B8">
        <v>55</v>
      </c>
      <c r="C8" t="s">
        <v>26</v>
      </c>
      <c r="D8">
        <v>6.1013000000000002</v>
      </c>
      <c r="E8">
        <v>16.39</v>
      </c>
      <c r="F8">
        <v>13.45</v>
      </c>
      <c r="G8">
        <v>22.41</v>
      </c>
      <c r="H8">
        <v>0.37</v>
      </c>
      <c r="I8">
        <v>36</v>
      </c>
      <c r="J8">
        <v>117.98</v>
      </c>
      <c r="K8">
        <v>43.4</v>
      </c>
      <c r="L8">
        <v>2.5</v>
      </c>
      <c r="M8">
        <v>34</v>
      </c>
      <c r="N8">
        <v>17.079999999999998</v>
      </c>
      <c r="O8">
        <v>14785.31</v>
      </c>
      <c r="P8">
        <v>119.75</v>
      </c>
      <c r="Q8">
        <v>988.15</v>
      </c>
      <c r="R8">
        <v>59.24</v>
      </c>
      <c r="S8">
        <v>35.43</v>
      </c>
      <c r="T8">
        <v>10750.44</v>
      </c>
      <c r="U8">
        <v>0.6</v>
      </c>
      <c r="V8">
        <v>0.85</v>
      </c>
      <c r="W8">
        <v>3.02</v>
      </c>
      <c r="X8">
        <v>0.69</v>
      </c>
      <c r="Y8">
        <v>1</v>
      </c>
      <c r="Z8">
        <v>10</v>
      </c>
    </row>
    <row r="9" spans="1:26" x14ac:dyDescent="0.3">
      <c r="A9">
        <v>7</v>
      </c>
      <c r="B9">
        <v>55</v>
      </c>
      <c r="C9" t="s">
        <v>26</v>
      </c>
      <c r="D9">
        <v>6.1563999999999997</v>
      </c>
      <c r="E9">
        <v>16.239999999999998</v>
      </c>
      <c r="F9">
        <v>13.39</v>
      </c>
      <c r="G9">
        <v>25.12</v>
      </c>
      <c r="H9">
        <v>0.41</v>
      </c>
      <c r="I9">
        <v>32</v>
      </c>
      <c r="J9">
        <v>118.31</v>
      </c>
      <c r="K9">
        <v>43.4</v>
      </c>
      <c r="L9">
        <v>2.75</v>
      </c>
      <c r="M9">
        <v>30</v>
      </c>
      <c r="N9">
        <v>17.16</v>
      </c>
      <c r="O9">
        <v>14825.26</v>
      </c>
      <c r="P9">
        <v>116.75</v>
      </c>
      <c r="Q9">
        <v>988.13</v>
      </c>
      <c r="R9">
        <v>57.41</v>
      </c>
      <c r="S9">
        <v>35.43</v>
      </c>
      <c r="T9">
        <v>9856.2099999999991</v>
      </c>
      <c r="U9">
        <v>0.62</v>
      </c>
      <c r="V9">
        <v>0.85</v>
      </c>
      <c r="W9">
        <v>3.03</v>
      </c>
      <c r="X9">
        <v>0.64</v>
      </c>
      <c r="Y9">
        <v>1</v>
      </c>
      <c r="Z9">
        <v>10</v>
      </c>
    </row>
    <row r="10" spans="1:26" x14ac:dyDescent="0.3">
      <c r="A10">
        <v>8</v>
      </c>
      <c r="B10">
        <v>55</v>
      </c>
      <c r="C10" t="s">
        <v>26</v>
      </c>
      <c r="D10">
        <v>6.2047999999999996</v>
      </c>
      <c r="E10">
        <v>16.12</v>
      </c>
      <c r="F10">
        <v>13.34</v>
      </c>
      <c r="G10">
        <v>27.6</v>
      </c>
      <c r="H10">
        <v>0.45</v>
      </c>
      <c r="I10">
        <v>29</v>
      </c>
      <c r="J10">
        <v>118.63</v>
      </c>
      <c r="K10">
        <v>43.4</v>
      </c>
      <c r="L10">
        <v>3</v>
      </c>
      <c r="M10">
        <v>27</v>
      </c>
      <c r="N10">
        <v>17.23</v>
      </c>
      <c r="O10">
        <v>14865.24</v>
      </c>
      <c r="P10">
        <v>114.11</v>
      </c>
      <c r="Q10">
        <v>988.17</v>
      </c>
      <c r="R10">
        <v>55.79</v>
      </c>
      <c r="S10">
        <v>35.43</v>
      </c>
      <c r="T10">
        <v>9062.0400000000009</v>
      </c>
      <c r="U10">
        <v>0.64</v>
      </c>
      <c r="V10">
        <v>0.85</v>
      </c>
      <c r="W10">
        <v>3.02</v>
      </c>
      <c r="X10">
        <v>0.59</v>
      </c>
      <c r="Y10">
        <v>1</v>
      </c>
      <c r="Z10">
        <v>10</v>
      </c>
    </row>
    <row r="11" spans="1:26" x14ac:dyDescent="0.3">
      <c r="A11">
        <v>9</v>
      </c>
      <c r="B11">
        <v>55</v>
      </c>
      <c r="C11" t="s">
        <v>26</v>
      </c>
      <c r="D11">
        <v>6.2653999999999996</v>
      </c>
      <c r="E11">
        <v>15.96</v>
      </c>
      <c r="F11">
        <v>13.26</v>
      </c>
      <c r="G11">
        <v>30.59</v>
      </c>
      <c r="H11">
        <v>0.48</v>
      </c>
      <c r="I11">
        <v>26</v>
      </c>
      <c r="J11">
        <v>118.96</v>
      </c>
      <c r="K11">
        <v>43.4</v>
      </c>
      <c r="L11">
        <v>3.25</v>
      </c>
      <c r="M11">
        <v>24</v>
      </c>
      <c r="N11">
        <v>17.309999999999999</v>
      </c>
      <c r="O11">
        <v>14905.25</v>
      </c>
      <c r="P11">
        <v>111.65</v>
      </c>
      <c r="Q11">
        <v>988.17</v>
      </c>
      <c r="R11">
        <v>53.26</v>
      </c>
      <c r="S11">
        <v>35.43</v>
      </c>
      <c r="T11">
        <v>7813.34</v>
      </c>
      <c r="U11">
        <v>0.67</v>
      </c>
      <c r="V11">
        <v>0.86</v>
      </c>
      <c r="W11">
        <v>3.01</v>
      </c>
      <c r="X11">
        <v>0.5</v>
      </c>
      <c r="Y11">
        <v>1</v>
      </c>
      <c r="Z11">
        <v>10</v>
      </c>
    </row>
    <row r="12" spans="1:26" x14ac:dyDescent="0.3">
      <c r="A12">
        <v>10</v>
      </c>
      <c r="B12">
        <v>55</v>
      </c>
      <c r="C12" t="s">
        <v>26</v>
      </c>
      <c r="D12">
        <v>6.3023999999999996</v>
      </c>
      <c r="E12">
        <v>15.87</v>
      </c>
      <c r="F12">
        <v>13.21</v>
      </c>
      <c r="G12">
        <v>33.020000000000003</v>
      </c>
      <c r="H12">
        <v>0.52</v>
      </c>
      <c r="I12">
        <v>24</v>
      </c>
      <c r="J12">
        <v>119.28</v>
      </c>
      <c r="K12">
        <v>43.4</v>
      </c>
      <c r="L12">
        <v>3.5</v>
      </c>
      <c r="M12">
        <v>22</v>
      </c>
      <c r="N12">
        <v>17.38</v>
      </c>
      <c r="O12">
        <v>14945.29</v>
      </c>
      <c r="P12">
        <v>108.71</v>
      </c>
      <c r="Q12">
        <v>988.29</v>
      </c>
      <c r="R12">
        <v>51.67</v>
      </c>
      <c r="S12">
        <v>35.43</v>
      </c>
      <c r="T12">
        <v>7028.38</v>
      </c>
      <c r="U12">
        <v>0.69</v>
      </c>
      <c r="V12">
        <v>0.86</v>
      </c>
      <c r="W12">
        <v>3.01</v>
      </c>
      <c r="X12">
        <v>0.45</v>
      </c>
      <c r="Y12">
        <v>1</v>
      </c>
      <c r="Z12">
        <v>10</v>
      </c>
    </row>
    <row r="13" spans="1:26" x14ac:dyDescent="0.3">
      <c r="A13">
        <v>11</v>
      </c>
      <c r="B13">
        <v>55</v>
      </c>
      <c r="C13" t="s">
        <v>26</v>
      </c>
      <c r="D13">
        <v>6.3319999999999999</v>
      </c>
      <c r="E13">
        <v>15.79</v>
      </c>
      <c r="F13">
        <v>13.18</v>
      </c>
      <c r="G13">
        <v>35.950000000000003</v>
      </c>
      <c r="H13">
        <v>0.55000000000000004</v>
      </c>
      <c r="I13">
        <v>22</v>
      </c>
      <c r="J13">
        <v>119.61</v>
      </c>
      <c r="K13">
        <v>43.4</v>
      </c>
      <c r="L13">
        <v>3.75</v>
      </c>
      <c r="M13">
        <v>19</v>
      </c>
      <c r="N13">
        <v>17.46</v>
      </c>
      <c r="O13">
        <v>14985.35</v>
      </c>
      <c r="P13">
        <v>106.59</v>
      </c>
      <c r="Q13">
        <v>988.13</v>
      </c>
      <c r="R13">
        <v>50.94</v>
      </c>
      <c r="S13">
        <v>35.43</v>
      </c>
      <c r="T13">
        <v>6671.9</v>
      </c>
      <c r="U13">
        <v>0.7</v>
      </c>
      <c r="V13">
        <v>0.86</v>
      </c>
      <c r="W13">
        <v>3.01</v>
      </c>
      <c r="X13">
        <v>0.43</v>
      </c>
      <c r="Y13">
        <v>1</v>
      </c>
      <c r="Z13">
        <v>10</v>
      </c>
    </row>
    <row r="14" spans="1:26" x14ac:dyDescent="0.3">
      <c r="A14">
        <v>12</v>
      </c>
      <c r="B14">
        <v>55</v>
      </c>
      <c r="C14" t="s">
        <v>26</v>
      </c>
      <c r="D14">
        <v>6.3655999999999997</v>
      </c>
      <c r="E14">
        <v>15.71</v>
      </c>
      <c r="F14">
        <v>13.15</v>
      </c>
      <c r="G14">
        <v>39.44</v>
      </c>
      <c r="H14">
        <v>0.59</v>
      </c>
      <c r="I14">
        <v>20</v>
      </c>
      <c r="J14">
        <v>119.93</v>
      </c>
      <c r="K14">
        <v>43.4</v>
      </c>
      <c r="L14">
        <v>4</v>
      </c>
      <c r="M14">
        <v>12</v>
      </c>
      <c r="N14">
        <v>17.53</v>
      </c>
      <c r="O14">
        <v>15025.44</v>
      </c>
      <c r="P14">
        <v>104.41</v>
      </c>
      <c r="Q14">
        <v>988.08</v>
      </c>
      <c r="R14">
        <v>49.51</v>
      </c>
      <c r="S14">
        <v>35.43</v>
      </c>
      <c r="T14">
        <v>5968</v>
      </c>
      <c r="U14">
        <v>0.72</v>
      </c>
      <c r="V14">
        <v>0.87</v>
      </c>
      <c r="W14">
        <v>3.01</v>
      </c>
      <c r="X14">
        <v>0.39</v>
      </c>
      <c r="Y14">
        <v>1</v>
      </c>
      <c r="Z14">
        <v>10</v>
      </c>
    </row>
    <row r="15" spans="1:26" x14ac:dyDescent="0.3">
      <c r="A15">
        <v>13</v>
      </c>
      <c r="B15">
        <v>55</v>
      </c>
      <c r="C15" t="s">
        <v>26</v>
      </c>
      <c r="D15">
        <v>6.3674999999999997</v>
      </c>
      <c r="E15">
        <v>15.7</v>
      </c>
      <c r="F15">
        <v>13.14</v>
      </c>
      <c r="G15">
        <v>39.43</v>
      </c>
      <c r="H15">
        <v>0.62</v>
      </c>
      <c r="I15">
        <v>20</v>
      </c>
      <c r="J15">
        <v>120.26</v>
      </c>
      <c r="K15">
        <v>43.4</v>
      </c>
      <c r="L15">
        <v>4.25</v>
      </c>
      <c r="M15">
        <v>4</v>
      </c>
      <c r="N15">
        <v>17.61</v>
      </c>
      <c r="O15">
        <v>15065.56</v>
      </c>
      <c r="P15">
        <v>103.39</v>
      </c>
      <c r="Q15">
        <v>988.38</v>
      </c>
      <c r="R15">
        <v>49.18</v>
      </c>
      <c r="S15">
        <v>35.43</v>
      </c>
      <c r="T15">
        <v>5798.86</v>
      </c>
      <c r="U15">
        <v>0.72</v>
      </c>
      <c r="V15">
        <v>0.87</v>
      </c>
      <c r="W15">
        <v>3.02</v>
      </c>
      <c r="X15">
        <v>0.39</v>
      </c>
      <c r="Y15">
        <v>1</v>
      </c>
      <c r="Z15">
        <v>10</v>
      </c>
    </row>
    <row r="16" spans="1:26" x14ac:dyDescent="0.3">
      <c r="A16">
        <v>14</v>
      </c>
      <c r="B16">
        <v>55</v>
      </c>
      <c r="C16" t="s">
        <v>26</v>
      </c>
      <c r="D16">
        <v>6.3864999999999998</v>
      </c>
      <c r="E16">
        <v>15.66</v>
      </c>
      <c r="F16">
        <v>13.12</v>
      </c>
      <c r="G16">
        <v>41.43</v>
      </c>
      <c r="H16">
        <v>0.66</v>
      </c>
      <c r="I16">
        <v>19</v>
      </c>
      <c r="J16">
        <v>120.58</v>
      </c>
      <c r="K16">
        <v>43.4</v>
      </c>
      <c r="L16">
        <v>4.5</v>
      </c>
      <c r="M16">
        <v>1</v>
      </c>
      <c r="N16">
        <v>17.68</v>
      </c>
      <c r="O16">
        <v>15105.7</v>
      </c>
      <c r="P16">
        <v>103.16</v>
      </c>
      <c r="Q16">
        <v>988.28</v>
      </c>
      <c r="R16">
        <v>48.46</v>
      </c>
      <c r="S16">
        <v>35.43</v>
      </c>
      <c r="T16">
        <v>5445.7</v>
      </c>
      <c r="U16">
        <v>0.73</v>
      </c>
      <c r="V16">
        <v>0.87</v>
      </c>
      <c r="W16">
        <v>3.02</v>
      </c>
      <c r="X16">
        <v>0.37</v>
      </c>
      <c r="Y16">
        <v>1</v>
      </c>
      <c r="Z16">
        <v>10</v>
      </c>
    </row>
    <row r="17" spans="1:26" x14ac:dyDescent="0.3">
      <c r="A17">
        <v>15</v>
      </c>
      <c r="B17">
        <v>55</v>
      </c>
      <c r="C17" t="s">
        <v>26</v>
      </c>
      <c r="D17">
        <v>6.3860999999999999</v>
      </c>
      <c r="E17">
        <v>15.66</v>
      </c>
      <c r="F17">
        <v>13.12</v>
      </c>
      <c r="G17">
        <v>41.43</v>
      </c>
      <c r="H17">
        <v>0.69</v>
      </c>
      <c r="I17">
        <v>19</v>
      </c>
      <c r="J17">
        <v>120.91</v>
      </c>
      <c r="K17">
        <v>43.4</v>
      </c>
      <c r="L17">
        <v>4.75</v>
      </c>
      <c r="M17">
        <v>0</v>
      </c>
      <c r="N17">
        <v>17.760000000000002</v>
      </c>
      <c r="O17">
        <v>15145.88</v>
      </c>
      <c r="P17">
        <v>103.39</v>
      </c>
      <c r="Q17">
        <v>988.28</v>
      </c>
      <c r="R17">
        <v>48.45</v>
      </c>
      <c r="S17">
        <v>35.43</v>
      </c>
      <c r="T17">
        <v>5438.83</v>
      </c>
      <c r="U17">
        <v>0.73</v>
      </c>
      <c r="V17">
        <v>0.87</v>
      </c>
      <c r="W17">
        <v>3.02</v>
      </c>
      <c r="X17">
        <v>0.37</v>
      </c>
      <c r="Y17">
        <v>1</v>
      </c>
      <c r="Z17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ilha30"/>
  <dimension ref="A1:Z956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0</v>
      </c>
      <c r="B2">
        <v>100</v>
      </c>
      <c r="C2" t="s">
        <v>26</v>
      </c>
      <c r="D2">
        <v>4.0411000000000001</v>
      </c>
      <c r="E2">
        <v>24.75</v>
      </c>
      <c r="F2">
        <v>16.010000000000002</v>
      </c>
      <c r="G2">
        <v>6</v>
      </c>
      <c r="H2">
        <v>0.09</v>
      </c>
      <c r="I2">
        <v>160</v>
      </c>
      <c r="J2">
        <v>194.77</v>
      </c>
      <c r="K2">
        <v>54.38</v>
      </c>
      <c r="L2">
        <v>1</v>
      </c>
      <c r="M2">
        <v>158</v>
      </c>
      <c r="N2">
        <v>39.4</v>
      </c>
      <c r="O2">
        <v>24256.19</v>
      </c>
      <c r="P2">
        <v>222.11</v>
      </c>
      <c r="Q2">
        <v>988.32</v>
      </c>
      <c r="R2">
        <v>138.75</v>
      </c>
      <c r="S2">
        <v>35.43</v>
      </c>
      <c r="T2">
        <v>49885.46</v>
      </c>
      <c r="U2">
        <v>0.26</v>
      </c>
      <c r="V2">
        <v>0.71</v>
      </c>
      <c r="W2">
        <v>3.23</v>
      </c>
      <c r="X2">
        <v>3.25</v>
      </c>
      <c r="Y2">
        <v>1</v>
      </c>
      <c r="Z2">
        <v>10</v>
      </c>
    </row>
    <row r="3" spans="1:26" x14ac:dyDescent="0.3">
      <c r="A3">
        <v>1</v>
      </c>
      <c r="B3">
        <v>100</v>
      </c>
      <c r="C3" t="s">
        <v>26</v>
      </c>
      <c r="D3">
        <v>4.4471999999999996</v>
      </c>
      <c r="E3">
        <v>22.49</v>
      </c>
      <c r="F3">
        <v>15.22</v>
      </c>
      <c r="G3">
        <v>7.49</v>
      </c>
      <c r="H3">
        <v>0.11</v>
      </c>
      <c r="I3">
        <v>122</v>
      </c>
      <c r="J3">
        <v>195.16</v>
      </c>
      <c r="K3">
        <v>54.38</v>
      </c>
      <c r="L3">
        <v>1.25</v>
      </c>
      <c r="M3">
        <v>120</v>
      </c>
      <c r="N3">
        <v>39.53</v>
      </c>
      <c r="O3">
        <v>24303.87</v>
      </c>
      <c r="P3">
        <v>210.31</v>
      </c>
      <c r="Q3">
        <v>988.45</v>
      </c>
      <c r="R3">
        <v>114.47</v>
      </c>
      <c r="S3">
        <v>35.43</v>
      </c>
      <c r="T3">
        <v>37935.43</v>
      </c>
      <c r="U3">
        <v>0.31</v>
      </c>
      <c r="V3">
        <v>0.75</v>
      </c>
      <c r="W3">
        <v>3.17</v>
      </c>
      <c r="X3">
        <v>2.4700000000000002</v>
      </c>
      <c r="Y3">
        <v>1</v>
      </c>
      <c r="Z3">
        <v>10</v>
      </c>
    </row>
    <row r="4" spans="1:26" x14ac:dyDescent="0.3">
      <c r="A4">
        <v>2</v>
      </c>
      <c r="B4">
        <v>100</v>
      </c>
      <c r="C4" t="s">
        <v>26</v>
      </c>
      <c r="D4">
        <v>4.7504</v>
      </c>
      <c r="E4">
        <v>21.05</v>
      </c>
      <c r="F4">
        <v>14.72</v>
      </c>
      <c r="G4">
        <v>9.01</v>
      </c>
      <c r="H4">
        <v>0.14000000000000001</v>
      </c>
      <c r="I4">
        <v>98</v>
      </c>
      <c r="J4">
        <v>195.55</v>
      </c>
      <c r="K4">
        <v>54.38</v>
      </c>
      <c r="L4">
        <v>1.5</v>
      </c>
      <c r="M4">
        <v>96</v>
      </c>
      <c r="N4">
        <v>39.67</v>
      </c>
      <c r="O4">
        <v>24351.61</v>
      </c>
      <c r="P4">
        <v>202.3</v>
      </c>
      <c r="Q4">
        <v>988.45</v>
      </c>
      <c r="R4">
        <v>98.79</v>
      </c>
      <c r="S4">
        <v>35.43</v>
      </c>
      <c r="T4">
        <v>30216.47</v>
      </c>
      <c r="U4">
        <v>0.36</v>
      </c>
      <c r="V4">
        <v>0.77</v>
      </c>
      <c r="W4">
        <v>3.13</v>
      </c>
      <c r="X4">
        <v>1.97</v>
      </c>
      <c r="Y4">
        <v>1</v>
      </c>
      <c r="Z4">
        <v>10</v>
      </c>
    </row>
    <row r="5" spans="1:26" x14ac:dyDescent="0.3">
      <c r="A5">
        <v>3</v>
      </c>
      <c r="B5">
        <v>100</v>
      </c>
      <c r="C5" t="s">
        <v>26</v>
      </c>
      <c r="D5">
        <v>4.9722</v>
      </c>
      <c r="E5">
        <v>20.11</v>
      </c>
      <c r="F5">
        <v>14.41</v>
      </c>
      <c r="G5">
        <v>10.54</v>
      </c>
      <c r="H5">
        <v>0.16</v>
      </c>
      <c r="I5">
        <v>82</v>
      </c>
      <c r="J5">
        <v>195.93</v>
      </c>
      <c r="K5">
        <v>54.38</v>
      </c>
      <c r="L5">
        <v>1.75</v>
      </c>
      <c r="M5">
        <v>80</v>
      </c>
      <c r="N5">
        <v>39.81</v>
      </c>
      <c r="O5">
        <v>24399.39</v>
      </c>
      <c r="P5">
        <v>197.05</v>
      </c>
      <c r="Q5">
        <v>988.29</v>
      </c>
      <c r="R5">
        <v>88.84</v>
      </c>
      <c r="S5">
        <v>35.43</v>
      </c>
      <c r="T5">
        <v>25323.32</v>
      </c>
      <c r="U5">
        <v>0.4</v>
      </c>
      <c r="V5">
        <v>0.79</v>
      </c>
      <c r="W5">
        <v>3.11</v>
      </c>
      <c r="X5">
        <v>1.65</v>
      </c>
      <c r="Y5">
        <v>1</v>
      </c>
      <c r="Z5">
        <v>10</v>
      </c>
    </row>
    <row r="6" spans="1:26" x14ac:dyDescent="0.3">
      <c r="A6">
        <v>4</v>
      </c>
      <c r="B6">
        <v>100</v>
      </c>
      <c r="C6" t="s">
        <v>26</v>
      </c>
      <c r="D6">
        <v>5.1527000000000003</v>
      </c>
      <c r="E6">
        <v>19.41</v>
      </c>
      <c r="F6">
        <v>14.17</v>
      </c>
      <c r="G6">
        <v>12.14</v>
      </c>
      <c r="H6">
        <v>0.18</v>
      </c>
      <c r="I6">
        <v>70</v>
      </c>
      <c r="J6">
        <v>196.32</v>
      </c>
      <c r="K6">
        <v>54.38</v>
      </c>
      <c r="L6">
        <v>2</v>
      </c>
      <c r="M6">
        <v>68</v>
      </c>
      <c r="N6">
        <v>39.950000000000003</v>
      </c>
      <c r="O6">
        <v>24447.22</v>
      </c>
      <c r="P6">
        <v>192.84</v>
      </c>
      <c r="Q6">
        <v>988.2</v>
      </c>
      <c r="R6">
        <v>81.349999999999994</v>
      </c>
      <c r="S6">
        <v>35.43</v>
      </c>
      <c r="T6">
        <v>21635.25</v>
      </c>
      <c r="U6">
        <v>0.44</v>
      </c>
      <c r="V6">
        <v>0.8</v>
      </c>
      <c r="W6">
        <v>3.09</v>
      </c>
      <c r="X6">
        <v>1.41</v>
      </c>
      <c r="Y6">
        <v>1</v>
      </c>
      <c r="Z6">
        <v>10</v>
      </c>
    </row>
    <row r="7" spans="1:26" x14ac:dyDescent="0.3">
      <c r="A7">
        <v>5</v>
      </c>
      <c r="B7">
        <v>100</v>
      </c>
      <c r="C7" t="s">
        <v>26</v>
      </c>
      <c r="D7">
        <v>5.2851999999999997</v>
      </c>
      <c r="E7">
        <v>18.920000000000002</v>
      </c>
      <c r="F7">
        <v>13.99</v>
      </c>
      <c r="G7">
        <v>13.54</v>
      </c>
      <c r="H7">
        <v>0.2</v>
      </c>
      <c r="I7">
        <v>62</v>
      </c>
      <c r="J7">
        <v>196.71</v>
      </c>
      <c r="K7">
        <v>54.38</v>
      </c>
      <c r="L7">
        <v>2.25</v>
      </c>
      <c r="M7">
        <v>60</v>
      </c>
      <c r="N7">
        <v>40.08</v>
      </c>
      <c r="O7">
        <v>24495.09</v>
      </c>
      <c r="P7">
        <v>189.47</v>
      </c>
      <c r="Q7">
        <v>988.31</v>
      </c>
      <c r="R7">
        <v>75.95</v>
      </c>
      <c r="S7">
        <v>35.43</v>
      </c>
      <c r="T7">
        <v>18974.62</v>
      </c>
      <c r="U7">
        <v>0.47</v>
      </c>
      <c r="V7">
        <v>0.81</v>
      </c>
      <c r="W7">
        <v>3.07</v>
      </c>
      <c r="X7">
        <v>1.24</v>
      </c>
      <c r="Y7">
        <v>1</v>
      </c>
      <c r="Z7">
        <v>10</v>
      </c>
    </row>
    <row r="8" spans="1:26" x14ac:dyDescent="0.3">
      <c r="A8">
        <v>6</v>
      </c>
      <c r="B8">
        <v>100</v>
      </c>
      <c r="C8" t="s">
        <v>26</v>
      </c>
      <c r="D8">
        <v>5.4109999999999996</v>
      </c>
      <c r="E8">
        <v>18.48</v>
      </c>
      <c r="F8">
        <v>13.83</v>
      </c>
      <c r="G8">
        <v>15.08</v>
      </c>
      <c r="H8">
        <v>0.23</v>
      </c>
      <c r="I8">
        <v>55</v>
      </c>
      <c r="J8">
        <v>197.1</v>
      </c>
      <c r="K8">
        <v>54.38</v>
      </c>
      <c r="L8">
        <v>2.5</v>
      </c>
      <c r="M8">
        <v>53</v>
      </c>
      <c r="N8">
        <v>40.22</v>
      </c>
      <c r="O8">
        <v>24543.01</v>
      </c>
      <c r="P8">
        <v>186.18</v>
      </c>
      <c r="Q8">
        <v>988.19</v>
      </c>
      <c r="R8">
        <v>71.209999999999994</v>
      </c>
      <c r="S8">
        <v>35.43</v>
      </c>
      <c r="T8">
        <v>16639.16</v>
      </c>
      <c r="U8">
        <v>0.5</v>
      </c>
      <c r="V8">
        <v>0.82</v>
      </c>
      <c r="W8">
        <v>3.05</v>
      </c>
      <c r="X8">
        <v>1.07</v>
      </c>
      <c r="Y8">
        <v>1</v>
      </c>
      <c r="Z8">
        <v>10</v>
      </c>
    </row>
    <row r="9" spans="1:26" x14ac:dyDescent="0.3">
      <c r="A9">
        <v>7</v>
      </c>
      <c r="B9">
        <v>100</v>
      </c>
      <c r="C9" t="s">
        <v>26</v>
      </c>
      <c r="D9">
        <v>5.5128000000000004</v>
      </c>
      <c r="E9">
        <v>18.14</v>
      </c>
      <c r="F9">
        <v>13.72</v>
      </c>
      <c r="G9">
        <v>16.8</v>
      </c>
      <c r="H9">
        <v>0.25</v>
      </c>
      <c r="I9">
        <v>49</v>
      </c>
      <c r="J9">
        <v>197.49</v>
      </c>
      <c r="K9">
        <v>54.38</v>
      </c>
      <c r="L9">
        <v>2.75</v>
      </c>
      <c r="M9">
        <v>47</v>
      </c>
      <c r="N9">
        <v>40.36</v>
      </c>
      <c r="O9">
        <v>24590.98</v>
      </c>
      <c r="P9">
        <v>183.76</v>
      </c>
      <c r="Q9">
        <v>988.34</v>
      </c>
      <c r="R9">
        <v>67.53</v>
      </c>
      <c r="S9">
        <v>35.43</v>
      </c>
      <c r="T9">
        <v>14832.26</v>
      </c>
      <c r="U9">
        <v>0.52</v>
      </c>
      <c r="V9">
        <v>0.83</v>
      </c>
      <c r="W9">
        <v>3.05</v>
      </c>
      <c r="X9">
        <v>0.96</v>
      </c>
      <c r="Y9">
        <v>1</v>
      </c>
      <c r="Z9">
        <v>10</v>
      </c>
    </row>
    <row r="10" spans="1:26" x14ac:dyDescent="0.3">
      <c r="A10">
        <v>8</v>
      </c>
      <c r="B10">
        <v>100</v>
      </c>
      <c r="C10" t="s">
        <v>26</v>
      </c>
      <c r="D10">
        <v>5.5864000000000003</v>
      </c>
      <c r="E10">
        <v>17.899999999999999</v>
      </c>
      <c r="F10">
        <v>13.63</v>
      </c>
      <c r="G10">
        <v>18.18</v>
      </c>
      <c r="H10">
        <v>0.27</v>
      </c>
      <c r="I10">
        <v>45</v>
      </c>
      <c r="J10">
        <v>197.88</v>
      </c>
      <c r="K10">
        <v>54.38</v>
      </c>
      <c r="L10">
        <v>3</v>
      </c>
      <c r="M10">
        <v>43</v>
      </c>
      <c r="N10">
        <v>40.5</v>
      </c>
      <c r="O10">
        <v>24639</v>
      </c>
      <c r="P10">
        <v>181.66</v>
      </c>
      <c r="Q10">
        <v>988.25</v>
      </c>
      <c r="R10">
        <v>65.11</v>
      </c>
      <c r="S10">
        <v>35.43</v>
      </c>
      <c r="T10">
        <v>13639.5</v>
      </c>
      <c r="U10">
        <v>0.54</v>
      </c>
      <c r="V10">
        <v>0.84</v>
      </c>
      <c r="W10">
        <v>3.04</v>
      </c>
      <c r="X10">
        <v>0.88</v>
      </c>
      <c r="Y10">
        <v>1</v>
      </c>
      <c r="Z10">
        <v>10</v>
      </c>
    </row>
    <row r="11" spans="1:26" x14ac:dyDescent="0.3">
      <c r="A11">
        <v>9</v>
      </c>
      <c r="B11">
        <v>100</v>
      </c>
      <c r="C11" t="s">
        <v>26</v>
      </c>
      <c r="D11">
        <v>5.6608999999999998</v>
      </c>
      <c r="E11">
        <v>17.66</v>
      </c>
      <c r="F11">
        <v>13.55</v>
      </c>
      <c r="G11">
        <v>19.829999999999998</v>
      </c>
      <c r="H11">
        <v>0.28999999999999998</v>
      </c>
      <c r="I11">
        <v>41</v>
      </c>
      <c r="J11">
        <v>198.27</v>
      </c>
      <c r="K11">
        <v>54.38</v>
      </c>
      <c r="L11">
        <v>3.25</v>
      </c>
      <c r="M11">
        <v>39</v>
      </c>
      <c r="N11">
        <v>40.64</v>
      </c>
      <c r="O11">
        <v>24687.06</v>
      </c>
      <c r="P11">
        <v>179.64</v>
      </c>
      <c r="Q11">
        <v>988.32</v>
      </c>
      <c r="R11">
        <v>62.4</v>
      </c>
      <c r="S11">
        <v>35.43</v>
      </c>
      <c r="T11">
        <v>12306.28</v>
      </c>
      <c r="U11">
        <v>0.56999999999999995</v>
      </c>
      <c r="V11">
        <v>0.84</v>
      </c>
      <c r="W11">
        <v>3.04</v>
      </c>
      <c r="X11">
        <v>0.8</v>
      </c>
      <c r="Y11">
        <v>1</v>
      </c>
      <c r="Z11">
        <v>10</v>
      </c>
    </row>
    <row r="12" spans="1:26" x14ac:dyDescent="0.3">
      <c r="A12">
        <v>10</v>
      </c>
      <c r="B12">
        <v>100</v>
      </c>
      <c r="C12" t="s">
        <v>26</v>
      </c>
      <c r="D12">
        <v>5.7210999999999999</v>
      </c>
      <c r="E12">
        <v>17.48</v>
      </c>
      <c r="F12">
        <v>13.48</v>
      </c>
      <c r="G12">
        <v>21.29</v>
      </c>
      <c r="H12">
        <v>0.31</v>
      </c>
      <c r="I12">
        <v>38</v>
      </c>
      <c r="J12">
        <v>198.66</v>
      </c>
      <c r="K12">
        <v>54.38</v>
      </c>
      <c r="L12">
        <v>3.5</v>
      </c>
      <c r="M12">
        <v>36</v>
      </c>
      <c r="N12">
        <v>40.78</v>
      </c>
      <c r="O12">
        <v>24735.17</v>
      </c>
      <c r="P12">
        <v>177.6</v>
      </c>
      <c r="Q12">
        <v>988.14</v>
      </c>
      <c r="R12">
        <v>60.72</v>
      </c>
      <c r="S12">
        <v>35.43</v>
      </c>
      <c r="T12">
        <v>11479.99</v>
      </c>
      <c r="U12">
        <v>0.57999999999999996</v>
      </c>
      <c r="V12">
        <v>0.85</v>
      </c>
      <c r="W12">
        <v>3.02</v>
      </c>
      <c r="X12">
        <v>0.73</v>
      </c>
      <c r="Y12">
        <v>1</v>
      </c>
      <c r="Z12">
        <v>10</v>
      </c>
    </row>
    <row r="13" spans="1:26" x14ac:dyDescent="0.3">
      <c r="A13">
        <v>11</v>
      </c>
      <c r="B13">
        <v>100</v>
      </c>
      <c r="C13" t="s">
        <v>26</v>
      </c>
      <c r="D13">
        <v>5.7766999999999999</v>
      </c>
      <c r="E13">
        <v>17.309999999999999</v>
      </c>
      <c r="F13">
        <v>13.43</v>
      </c>
      <c r="G13">
        <v>23.03</v>
      </c>
      <c r="H13">
        <v>0.33</v>
      </c>
      <c r="I13">
        <v>35</v>
      </c>
      <c r="J13">
        <v>199.05</v>
      </c>
      <c r="K13">
        <v>54.38</v>
      </c>
      <c r="L13">
        <v>3.75</v>
      </c>
      <c r="M13">
        <v>33</v>
      </c>
      <c r="N13">
        <v>40.92</v>
      </c>
      <c r="O13">
        <v>24783.33</v>
      </c>
      <c r="P13">
        <v>176.09</v>
      </c>
      <c r="Q13">
        <v>988.15</v>
      </c>
      <c r="R13">
        <v>58.85</v>
      </c>
      <c r="S13">
        <v>35.43</v>
      </c>
      <c r="T13">
        <v>10558.87</v>
      </c>
      <c r="U13">
        <v>0.6</v>
      </c>
      <c r="V13">
        <v>0.85</v>
      </c>
      <c r="W13">
        <v>3.02</v>
      </c>
      <c r="X13">
        <v>0.68</v>
      </c>
      <c r="Y13">
        <v>1</v>
      </c>
      <c r="Z13">
        <v>10</v>
      </c>
    </row>
    <row r="14" spans="1:26" x14ac:dyDescent="0.3">
      <c r="A14">
        <v>12</v>
      </c>
      <c r="B14">
        <v>100</v>
      </c>
      <c r="C14" t="s">
        <v>26</v>
      </c>
      <c r="D14">
        <v>5.8197999999999999</v>
      </c>
      <c r="E14">
        <v>17.18</v>
      </c>
      <c r="F14">
        <v>13.38</v>
      </c>
      <c r="G14">
        <v>24.33</v>
      </c>
      <c r="H14">
        <v>0.36</v>
      </c>
      <c r="I14">
        <v>33</v>
      </c>
      <c r="J14">
        <v>199.44</v>
      </c>
      <c r="K14">
        <v>54.38</v>
      </c>
      <c r="L14">
        <v>4</v>
      </c>
      <c r="M14">
        <v>31</v>
      </c>
      <c r="N14">
        <v>41.06</v>
      </c>
      <c r="O14">
        <v>24831.54</v>
      </c>
      <c r="P14">
        <v>174.34</v>
      </c>
      <c r="Q14">
        <v>988.11</v>
      </c>
      <c r="R14">
        <v>57.38</v>
      </c>
      <c r="S14">
        <v>35.43</v>
      </c>
      <c r="T14">
        <v>9836.91</v>
      </c>
      <c r="U14">
        <v>0.62</v>
      </c>
      <c r="V14">
        <v>0.85</v>
      </c>
      <c r="W14">
        <v>3.01</v>
      </c>
      <c r="X14">
        <v>0.63</v>
      </c>
      <c r="Y14">
        <v>1</v>
      </c>
      <c r="Z14">
        <v>10</v>
      </c>
    </row>
    <row r="15" spans="1:26" x14ac:dyDescent="0.3">
      <c r="A15">
        <v>13</v>
      </c>
      <c r="B15">
        <v>100</v>
      </c>
      <c r="C15" t="s">
        <v>26</v>
      </c>
      <c r="D15">
        <v>5.8548</v>
      </c>
      <c r="E15">
        <v>17.079999999999998</v>
      </c>
      <c r="F15">
        <v>13.36</v>
      </c>
      <c r="G15">
        <v>25.85</v>
      </c>
      <c r="H15">
        <v>0.38</v>
      </c>
      <c r="I15">
        <v>31</v>
      </c>
      <c r="J15">
        <v>199.83</v>
      </c>
      <c r="K15">
        <v>54.38</v>
      </c>
      <c r="L15">
        <v>4.25</v>
      </c>
      <c r="M15">
        <v>29</v>
      </c>
      <c r="N15">
        <v>41.2</v>
      </c>
      <c r="O15">
        <v>24879.79</v>
      </c>
      <c r="P15">
        <v>172.97</v>
      </c>
      <c r="Q15">
        <v>988.19</v>
      </c>
      <c r="R15">
        <v>56.43</v>
      </c>
      <c r="S15">
        <v>35.43</v>
      </c>
      <c r="T15">
        <v>9371.49</v>
      </c>
      <c r="U15">
        <v>0.63</v>
      </c>
      <c r="V15">
        <v>0.85</v>
      </c>
      <c r="W15">
        <v>3.02</v>
      </c>
      <c r="X15">
        <v>0.6</v>
      </c>
      <c r="Y15">
        <v>1</v>
      </c>
      <c r="Z15">
        <v>10</v>
      </c>
    </row>
    <row r="16" spans="1:26" x14ac:dyDescent="0.3">
      <c r="A16">
        <v>14</v>
      </c>
      <c r="B16">
        <v>100</v>
      </c>
      <c r="C16" t="s">
        <v>26</v>
      </c>
      <c r="D16">
        <v>5.8966000000000003</v>
      </c>
      <c r="E16">
        <v>16.96</v>
      </c>
      <c r="F16">
        <v>13.31</v>
      </c>
      <c r="G16">
        <v>27.55</v>
      </c>
      <c r="H16">
        <v>0.4</v>
      </c>
      <c r="I16">
        <v>29</v>
      </c>
      <c r="J16">
        <v>200.22</v>
      </c>
      <c r="K16">
        <v>54.38</v>
      </c>
      <c r="L16">
        <v>4.5</v>
      </c>
      <c r="M16">
        <v>27</v>
      </c>
      <c r="N16">
        <v>41.35</v>
      </c>
      <c r="O16">
        <v>24928.09</v>
      </c>
      <c r="P16">
        <v>171.23</v>
      </c>
      <c r="Q16">
        <v>988.14</v>
      </c>
      <c r="R16">
        <v>55.4</v>
      </c>
      <c r="S16">
        <v>35.43</v>
      </c>
      <c r="T16">
        <v>8864.65</v>
      </c>
      <c r="U16">
        <v>0.64</v>
      </c>
      <c r="V16">
        <v>0.86</v>
      </c>
      <c r="W16">
        <v>3</v>
      </c>
      <c r="X16">
        <v>0.56000000000000005</v>
      </c>
      <c r="Y16">
        <v>1</v>
      </c>
      <c r="Z16">
        <v>10</v>
      </c>
    </row>
    <row r="17" spans="1:26" x14ac:dyDescent="0.3">
      <c r="A17">
        <v>15</v>
      </c>
      <c r="B17">
        <v>100</v>
      </c>
      <c r="C17" t="s">
        <v>26</v>
      </c>
      <c r="D17">
        <v>5.9386000000000001</v>
      </c>
      <c r="E17">
        <v>16.84</v>
      </c>
      <c r="F17">
        <v>13.27</v>
      </c>
      <c r="G17">
        <v>29.49</v>
      </c>
      <c r="H17">
        <v>0.42</v>
      </c>
      <c r="I17">
        <v>27</v>
      </c>
      <c r="J17">
        <v>200.61</v>
      </c>
      <c r="K17">
        <v>54.38</v>
      </c>
      <c r="L17">
        <v>4.75</v>
      </c>
      <c r="M17">
        <v>25</v>
      </c>
      <c r="N17">
        <v>41.49</v>
      </c>
      <c r="O17">
        <v>24976.45</v>
      </c>
      <c r="P17">
        <v>169.72</v>
      </c>
      <c r="Q17">
        <v>988.09</v>
      </c>
      <c r="R17">
        <v>53.88</v>
      </c>
      <c r="S17">
        <v>35.43</v>
      </c>
      <c r="T17">
        <v>8116.14</v>
      </c>
      <c r="U17">
        <v>0.66</v>
      </c>
      <c r="V17">
        <v>0.86</v>
      </c>
      <c r="W17">
        <v>3.01</v>
      </c>
      <c r="X17">
        <v>0.52</v>
      </c>
      <c r="Y17">
        <v>1</v>
      </c>
      <c r="Z17">
        <v>10</v>
      </c>
    </row>
    <row r="18" spans="1:26" x14ac:dyDescent="0.3">
      <c r="A18">
        <v>16</v>
      </c>
      <c r="B18">
        <v>100</v>
      </c>
      <c r="C18" t="s">
        <v>26</v>
      </c>
      <c r="D18">
        <v>5.9858000000000002</v>
      </c>
      <c r="E18">
        <v>16.71</v>
      </c>
      <c r="F18">
        <v>13.22</v>
      </c>
      <c r="G18">
        <v>31.72</v>
      </c>
      <c r="H18">
        <v>0.44</v>
      </c>
      <c r="I18">
        <v>25</v>
      </c>
      <c r="J18">
        <v>201.01</v>
      </c>
      <c r="K18">
        <v>54.38</v>
      </c>
      <c r="L18">
        <v>5</v>
      </c>
      <c r="M18">
        <v>23</v>
      </c>
      <c r="N18">
        <v>41.63</v>
      </c>
      <c r="O18">
        <v>25024.84</v>
      </c>
      <c r="P18">
        <v>167.75</v>
      </c>
      <c r="Q18">
        <v>988.19</v>
      </c>
      <c r="R18">
        <v>52.31</v>
      </c>
      <c r="S18">
        <v>35.43</v>
      </c>
      <c r="T18">
        <v>7340.77</v>
      </c>
      <c r="U18">
        <v>0.68</v>
      </c>
      <c r="V18">
        <v>0.86</v>
      </c>
      <c r="W18">
        <v>3</v>
      </c>
      <c r="X18">
        <v>0.46</v>
      </c>
      <c r="Y18">
        <v>1</v>
      </c>
      <c r="Z18">
        <v>10</v>
      </c>
    </row>
    <row r="19" spans="1:26" x14ac:dyDescent="0.3">
      <c r="A19">
        <v>17</v>
      </c>
      <c r="B19">
        <v>100</v>
      </c>
      <c r="C19" t="s">
        <v>26</v>
      </c>
      <c r="D19">
        <v>6.0038999999999998</v>
      </c>
      <c r="E19">
        <v>16.66</v>
      </c>
      <c r="F19">
        <v>13.21</v>
      </c>
      <c r="G19">
        <v>33.01</v>
      </c>
      <c r="H19">
        <v>0.46</v>
      </c>
      <c r="I19">
        <v>24</v>
      </c>
      <c r="J19">
        <v>201.4</v>
      </c>
      <c r="K19">
        <v>54.38</v>
      </c>
      <c r="L19">
        <v>5.25</v>
      </c>
      <c r="M19">
        <v>22</v>
      </c>
      <c r="N19">
        <v>41.77</v>
      </c>
      <c r="O19">
        <v>25073.29</v>
      </c>
      <c r="P19">
        <v>166.79</v>
      </c>
      <c r="Q19">
        <v>988.1</v>
      </c>
      <c r="R19">
        <v>52.06</v>
      </c>
      <c r="S19">
        <v>35.43</v>
      </c>
      <c r="T19">
        <v>7218.76</v>
      </c>
      <c r="U19">
        <v>0.68</v>
      </c>
      <c r="V19">
        <v>0.86</v>
      </c>
      <c r="W19">
        <v>3</v>
      </c>
      <c r="X19">
        <v>0.45</v>
      </c>
      <c r="Y19">
        <v>1</v>
      </c>
      <c r="Z19">
        <v>10</v>
      </c>
    </row>
    <row r="20" spans="1:26" x14ac:dyDescent="0.3">
      <c r="A20">
        <v>18</v>
      </c>
      <c r="B20">
        <v>100</v>
      </c>
      <c r="C20" t="s">
        <v>26</v>
      </c>
      <c r="D20">
        <v>6.0244</v>
      </c>
      <c r="E20">
        <v>16.600000000000001</v>
      </c>
      <c r="F20">
        <v>13.19</v>
      </c>
      <c r="G20">
        <v>34.4</v>
      </c>
      <c r="H20">
        <v>0.48</v>
      </c>
      <c r="I20">
        <v>23</v>
      </c>
      <c r="J20">
        <v>201.79</v>
      </c>
      <c r="K20">
        <v>54.38</v>
      </c>
      <c r="L20">
        <v>5.5</v>
      </c>
      <c r="M20">
        <v>21</v>
      </c>
      <c r="N20">
        <v>41.92</v>
      </c>
      <c r="O20">
        <v>25121.79</v>
      </c>
      <c r="P20">
        <v>165.71</v>
      </c>
      <c r="Q20">
        <v>988.16</v>
      </c>
      <c r="R20">
        <v>51.31</v>
      </c>
      <c r="S20">
        <v>35.43</v>
      </c>
      <c r="T20">
        <v>6849.09</v>
      </c>
      <c r="U20">
        <v>0.69</v>
      </c>
      <c r="V20">
        <v>0.86</v>
      </c>
      <c r="W20">
        <v>3</v>
      </c>
      <c r="X20">
        <v>0.43</v>
      </c>
      <c r="Y20">
        <v>1</v>
      </c>
      <c r="Z20">
        <v>10</v>
      </c>
    </row>
    <row r="21" spans="1:26" x14ac:dyDescent="0.3">
      <c r="A21">
        <v>19</v>
      </c>
      <c r="B21">
        <v>100</v>
      </c>
      <c r="C21" t="s">
        <v>26</v>
      </c>
      <c r="D21">
        <v>6.0456000000000003</v>
      </c>
      <c r="E21">
        <v>16.54</v>
      </c>
      <c r="F21">
        <v>13.17</v>
      </c>
      <c r="G21">
        <v>35.909999999999997</v>
      </c>
      <c r="H21">
        <v>0.51</v>
      </c>
      <c r="I21">
        <v>22</v>
      </c>
      <c r="J21">
        <v>202.19</v>
      </c>
      <c r="K21">
        <v>54.38</v>
      </c>
      <c r="L21">
        <v>5.75</v>
      </c>
      <c r="M21">
        <v>20</v>
      </c>
      <c r="N21">
        <v>42.06</v>
      </c>
      <c r="O21">
        <v>25170.34</v>
      </c>
      <c r="P21">
        <v>164.38</v>
      </c>
      <c r="Q21">
        <v>988.09</v>
      </c>
      <c r="R21">
        <v>50.77</v>
      </c>
      <c r="S21">
        <v>35.43</v>
      </c>
      <c r="T21">
        <v>6587.05</v>
      </c>
      <c r="U21">
        <v>0.7</v>
      </c>
      <c r="V21">
        <v>0.87</v>
      </c>
      <c r="W21">
        <v>3</v>
      </c>
      <c r="X21">
        <v>0.41</v>
      </c>
      <c r="Y21">
        <v>1</v>
      </c>
      <c r="Z21">
        <v>10</v>
      </c>
    </row>
    <row r="22" spans="1:26" x14ac:dyDescent="0.3">
      <c r="A22">
        <v>20</v>
      </c>
      <c r="B22">
        <v>100</v>
      </c>
      <c r="C22" t="s">
        <v>26</v>
      </c>
      <c r="D22">
        <v>6.0648</v>
      </c>
      <c r="E22">
        <v>16.489999999999998</v>
      </c>
      <c r="F22">
        <v>13.16</v>
      </c>
      <c r="G22">
        <v>37.590000000000003</v>
      </c>
      <c r="H22">
        <v>0.53</v>
      </c>
      <c r="I22">
        <v>21</v>
      </c>
      <c r="J22">
        <v>202.58</v>
      </c>
      <c r="K22">
        <v>54.38</v>
      </c>
      <c r="L22">
        <v>6</v>
      </c>
      <c r="M22">
        <v>19</v>
      </c>
      <c r="N22">
        <v>42.2</v>
      </c>
      <c r="O22">
        <v>25218.93</v>
      </c>
      <c r="P22">
        <v>162.91999999999999</v>
      </c>
      <c r="Q22">
        <v>988.14</v>
      </c>
      <c r="R22">
        <v>50.38</v>
      </c>
      <c r="S22">
        <v>35.43</v>
      </c>
      <c r="T22">
        <v>6396.35</v>
      </c>
      <c r="U22">
        <v>0.7</v>
      </c>
      <c r="V22">
        <v>0.87</v>
      </c>
      <c r="W22">
        <v>2.99</v>
      </c>
      <c r="X22">
        <v>0.4</v>
      </c>
      <c r="Y22">
        <v>1</v>
      </c>
      <c r="Z22">
        <v>10</v>
      </c>
    </row>
    <row r="23" spans="1:26" x14ac:dyDescent="0.3">
      <c r="A23">
        <v>21</v>
      </c>
      <c r="B23">
        <v>100</v>
      </c>
      <c r="C23" t="s">
        <v>26</v>
      </c>
      <c r="D23">
        <v>6.0936000000000003</v>
      </c>
      <c r="E23">
        <v>16.41</v>
      </c>
      <c r="F23">
        <v>13.12</v>
      </c>
      <c r="G23">
        <v>39.35</v>
      </c>
      <c r="H23">
        <v>0.55000000000000004</v>
      </c>
      <c r="I23">
        <v>20</v>
      </c>
      <c r="J23">
        <v>202.98</v>
      </c>
      <c r="K23">
        <v>54.38</v>
      </c>
      <c r="L23">
        <v>6.25</v>
      </c>
      <c r="M23">
        <v>18</v>
      </c>
      <c r="N23">
        <v>42.35</v>
      </c>
      <c r="O23">
        <v>25267.7</v>
      </c>
      <c r="P23">
        <v>161.55000000000001</v>
      </c>
      <c r="Q23">
        <v>988.15</v>
      </c>
      <c r="R23">
        <v>48.88</v>
      </c>
      <c r="S23">
        <v>35.43</v>
      </c>
      <c r="T23">
        <v>5652.43</v>
      </c>
      <c r="U23">
        <v>0.72</v>
      </c>
      <c r="V23">
        <v>0.87</v>
      </c>
      <c r="W23">
        <v>3</v>
      </c>
      <c r="X23">
        <v>0.36</v>
      </c>
      <c r="Y23">
        <v>1</v>
      </c>
      <c r="Z23">
        <v>10</v>
      </c>
    </row>
    <row r="24" spans="1:26" x14ac:dyDescent="0.3">
      <c r="A24">
        <v>22</v>
      </c>
      <c r="B24">
        <v>100</v>
      </c>
      <c r="C24" t="s">
        <v>26</v>
      </c>
      <c r="D24">
        <v>6.1134000000000004</v>
      </c>
      <c r="E24">
        <v>16.36</v>
      </c>
      <c r="F24">
        <v>13.1</v>
      </c>
      <c r="G24">
        <v>41.37</v>
      </c>
      <c r="H24">
        <v>0.56999999999999995</v>
      </c>
      <c r="I24">
        <v>19</v>
      </c>
      <c r="J24">
        <v>203.37</v>
      </c>
      <c r="K24">
        <v>54.38</v>
      </c>
      <c r="L24">
        <v>6.5</v>
      </c>
      <c r="M24">
        <v>17</v>
      </c>
      <c r="N24">
        <v>42.49</v>
      </c>
      <c r="O24">
        <v>25316.39</v>
      </c>
      <c r="P24">
        <v>160.34</v>
      </c>
      <c r="Q24">
        <v>988.09</v>
      </c>
      <c r="R24">
        <v>48.63</v>
      </c>
      <c r="S24">
        <v>35.43</v>
      </c>
      <c r="T24">
        <v>5532.75</v>
      </c>
      <c r="U24">
        <v>0.73</v>
      </c>
      <c r="V24">
        <v>0.87</v>
      </c>
      <c r="W24">
        <v>2.99</v>
      </c>
      <c r="X24">
        <v>0.35</v>
      </c>
      <c r="Y24">
        <v>1</v>
      </c>
      <c r="Z24">
        <v>10</v>
      </c>
    </row>
    <row r="25" spans="1:26" x14ac:dyDescent="0.3">
      <c r="A25">
        <v>23</v>
      </c>
      <c r="B25">
        <v>100</v>
      </c>
      <c r="C25" t="s">
        <v>26</v>
      </c>
      <c r="D25">
        <v>6.1321000000000003</v>
      </c>
      <c r="E25">
        <v>16.309999999999999</v>
      </c>
      <c r="F25">
        <v>13.09</v>
      </c>
      <c r="G25">
        <v>43.64</v>
      </c>
      <c r="H25">
        <v>0.59</v>
      </c>
      <c r="I25">
        <v>18</v>
      </c>
      <c r="J25">
        <v>203.77</v>
      </c>
      <c r="K25">
        <v>54.38</v>
      </c>
      <c r="L25">
        <v>6.75</v>
      </c>
      <c r="M25">
        <v>16</v>
      </c>
      <c r="N25">
        <v>42.64</v>
      </c>
      <c r="O25">
        <v>25365.14</v>
      </c>
      <c r="P25">
        <v>159.13999999999999</v>
      </c>
      <c r="Q25">
        <v>988.15</v>
      </c>
      <c r="R25">
        <v>48.32</v>
      </c>
      <c r="S25">
        <v>35.43</v>
      </c>
      <c r="T25">
        <v>5379.8</v>
      </c>
      <c r="U25">
        <v>0.73</v>
      </c>
      <c r="V25">
        <v>0.87</v>
      </c>
      <c r="W25">
        <v>2.99</v>
      </c>
      <c r="X25">
        <v>0.34</v>
      </c>
      <c r="Y25">
        <v>1</v>
      </c>
      <c r="Z25">
        <v>10</v>
      </c>
    </row>
    <row r="26" spans="1:26" x14ac:dyDescent="0.3">
      <c r="A26">
        <v>24</v>
      </c>
      <c r="B26">
        <v>100</v>
      </c>
      <c r="C26" t="s">
        <v>26</v>
      </c>
      <c r="D26">
        <v>6.1544999999999996</v>
      </c>
      <c r="E26">
        <v>16.25</v>
      </c>
      <c r="F26">
        <v>13.07</v>
      </c>
      <c r="G26">
        <v>46.13</v>
      </c>
      <c r="H26">
        <v>0.61</v>
      </c>
      <c r="I26">
        <v>17</v>
      </c>
      <c r="J26">
        <v>204.16</v>
      </c>
      <c r="K26">
        <v>54.38</v>
      </c>
      <c r="L26">
        <v>7</v>
      </c>
      <c r="M26">
        <v>15</v>
      </c>
      <c r="N26">
        <v>42.78</v>
      </c>
      <c r="O26">
        <v>25413.94</v>
      </c>
      <c r="P26">
        <v>156.15</v>
      </c>
      <c r="Q26">
        <v>988.14</v>
      </c>
      <c r="R26">
        <v>47.48</v>
      </c>
      <c r="S26">
        <v>35.43</v>
      </c>
      <c r="T26">
        <v>4965.78</v>
      </c>
      <c r="U26">
        <v>0.75</v>
      </c>
      <c r="V26">
        <v>0.87</v>
      </c>
      <c r="W26">
        <v>3</v>
      </c>
      <c r="X26">
        <v>0.32</v>
      </c>
      <c r="Y26">
        <v>1</v>
      </c>
      <c r="Z26">
        <v>10</v>
      </c>
    </row>
    <row r="27" spans="1:26" x14ac:dyDescent="0.3">
      <c r="A27">
        <v>25</v>
      </c>
      <c r="B27">
        <v>100</v>
      </c>
      <c r="C27" t="s">
        <v>26</v>
      </c>
      <c r="D27">
        <v>6.1515000000000004</v>
      </c>
      <c r="E27">
        <v>16.260000000000002</v>
      </c>
      <c r="F27">
        <v>13.08</v>
      </c>
      <c r="G27">
        <v>46.16</v>
      </c>
      <c r="H27">
        <v>0.63</v>
      </c>
      <c r="I27">
        <v>17</v>
      </c>
      <c r="J27">
        <v>204.56</v>
      </c>
      <c r="K27">
        <v>54.38</v>
      </c>
      <c r="L27">
        <v>7.25</v>
      </c>
      <c r="M27">
        <v>15</v>
      </c>
      <c r="N27">
        <v>42.93</v>
      </c>
      <c r="O27">
        <v>25462.78</v>
      </c>
      <c r="P27">
        <v>155.84</v>
      </c>
      <c r="Q27">
        <v>988.17</v>
      </c>
      <c r="R27">
        <v>47.74</v>
      </c>
      <c r="S27">
        <v>35.43</v>
      </c>
      <c r="T27">
        <v>5096.8900000000003</v>
      </c>
      <c r="U27">
        <v>0.74</v>
      </c>
      <c r="V27">
        <v>0.87</v>
      </c>
      <c r="W27">
        <v>2.99</v>
      </c>
      <c r="X27">
        <v>0.32</v>
      </c>
      <c r="Y27">
        <v>1</v>
      </c>
      <c r="Z27">
        <v>10</v>
      </c>
    </row>
    <row r="28" spans="1:26" x14ac:dyDescent="0.3">
      <c r="A28">
        <v>26</v>
      </c>
      <c r="B28">
        <v>100</v>
      </c>
      <c r="C28" t="s">
        <v>26</v>
      </c>
      <c r="D28">
        <v>6.1764000000000001</v>
      </c>
      <c r="E28">
        <v>16.190000000000001</v>
      </c>
      <c r="F28">
        <v>13.05</v>
      </c>
      <c r="G28">
        <v>48.94</v>
      </c>
      <c r="H28">
        <v>0.65</v>
      </c>
      <c r="I28">
        <v>16</v>
      </c>
      <c r="J28">
        <v>204.95</v>
      </c>
      <c r="K28">
        <v>54.38</v>
      </c>
      <c r="L28">
        <v>7.5</v>
      </c>
      <c r="M28">
        <v>14</v>
      </c>
      <c r="N28">
        <v>43.08</v>
      </c>
      <c r="O28">
        <v>25511.67</v>
      </c>
      <c r="P28">
        <v>154.82</v>
      </c>
      <c r="Q28">
        <v>988.14</v>
      </c>
      <c r="R28">
        <v>46.98</v>
      </c>
      <c r="S28">
        <v>35.43</v>
      </c>
      <c r="T28">
        <v>4719.78</v>
      </c>
      <c r="U28">
        <v>0.75</v>
      </c>
      <c r="V28">
        <v>0.87</v>
      </c>
      <c r="W28">
        <v>2.99</v>
      </c>
      <c r="X28">
        <v>0.3</v>
      </c>
      <c r="Y28">
        <v>1</v>
      </c>
      <c r="Z28">
        <v>10</v>
      </c>
    </row>
    <row r="29" spans="1:26" x14ac:dyDescent="0.3">
      <c r="A29">
        <v>27</v>
      </c>
      <c r="B29">
        <v>100</v>
      </c>
      <c r="C29" t="s">
        <v>26</v>
      </c>
      <c r="D29">
        <v>6.1737000000000002</v>
      </c>
      <c r="E29">
        <v>16.2</v>
      </c>
      <c r="F29">
        <v>13.06</v>
      </c>
      <c r="G29">
        <v>48.97</v>
      </c>
      <c r="H29">
        <v>0.67</v>
      </c>
      <c r="I29">
        <v>16</v>
      </c>
      <c r="J29">
        <v>205.35</v>
      </c>
      <c r="K29">
        <v>54.38</v>
      </c>
      <c r="L29">
        <v>7.75</v>
      </c>
      <c r="M29">
        <v>14</v>
      </c>
      <c r="N29">
        <v>43.22</v>
      </c>
      <c r="O29">
        <v>25560.62</v>
      </c>
      <c r="P29">
        <v>153.59</v>
      </c>
      <c r="Q29">
        <v>988.19</v>
      </c>
      <c r="R29">
        <v>47.22</v>
      </c>
      <c r="S29">
        <v>35.43</v>
      </c>
      <c r="T29">
        <v>4842.0600000000004</v>
      </c>
      <c r="U29">
        <v>0.75</v>
      </c>
      <c r="V29">
        <v>0.87</v>
      </c>
      <c r="W29">
        <v>2.99</v>
      </c>
      <c r="X29">
        <v>0.3</v>
      </c>
      <c r="Y29">
        <v>1</v>
      </c>
      <c r="Z29">
        <v>10</v>
      </c>
    </row>
    <row r="30" spans="1:26" x14ac:dyDescent="0.3">
      <c r="A30">
        <v>28</v>
      </c>
      <c r="B30">
        <v>100</v>
      </c>
      <c r="C30" t="s">
        <v>26</v>
      </c>
      <c r="D30">
        <v>6.1974</v>
      </c>
      <c r="E30">
        <v>16.14</v>
      </c>
      <c r="F30">
        <v>13.04</v>
      </c>
      <c r="G30">
        <v>52.14</v>
      </c>
      <c r="H30">
        <v>0.69</v>
      </c>
      <c r="I30">
        <v>15</v>
      </c>
      <c r="J30">
        <v>205.75</v>
      </c>
      <c r="K30">
        <v>54.38</v>
      </c>
      <c r="L30">
        <v>8</v>
      </c>
      <c r="M30">
        <v>13</v>
      </c>
      <c r="N30">
        <v>43.37</v>
      </c>
      <c r="O30">
        <v>25609.61</v>
      </c>
      <c r="P30">
        <v>152.25</v>
      </c>
      <c r="Q30">
        <v>988.08</v>
      </c>
      <c r="R30">
        <v>46.61</v>
      </c>
      <c r="S30">
        <v>35.43</v>
      </c>
      <c r="T30">
        <v>4543.12</v>
      </c>
      <c r="U30">
        <v>0.76</v>
      </c>
      <c r="V30">
        <v>0.87</v>
      </c>
      <c r="W30">
        <v>2.99</v>
      </c>
      <c r="X30">
        <v>0.28000000000000003</v>
      </c>
      <c r="Y30">
        <v>1</v>
      </c>
      <c r="Z30">
        <v>10</v>
      </c>
    </row>
    <row r="31" spans="1:26" x14ac:dyDescent="0.3">
      <c r="A31">
        <v>29</v>
      </c>
      <c r="B31">
        <v>100</v>
      </c>
      <c r="C31" t="s">
        <v>26</v>
      </c>
      <c r="D31">
        <v>6.1981000000000002</v>
      </c>
      <c r="E31">
        <v>16.13</v>
      </c>
      <c r="F31">
        <v>13.03</v>
      </c>
      <c r="G31">
        <v>52.14</v>
      </c>
      <c r="H31">
        <v>0.71</v>
      </c>
      <c r="I31">
        <v>15</v>
      </c>
      <c r="J31">
        <v>206.15</v>
      </c>
      <c r="K31">
        <v>54.38</v>
      </c>
      <c r="L31">
        <v>8.25</v>
      </c>
      <c r="M31">
        <v>13</v>
      </c>
      <c r="N31">
        <v>43.52</v>
      </c>
      <c r="O31">
        <v>25658.66</v>
      </c>
      <c r="P31">
        <v>150.76</v>
      </c>
      <c r="Q31">
        <v>988.16</v>
      </c>
      <c r="R31">
        <v>46.57</v>
      </c>
      <c r="S31">
        <v>35.43</v>
      </c>
      <c r="T31">
        <v>4519.8100000000004</v>
      </c>
      <c r="U31">
        <v>0.76</v>
      </c>
      <c r="V31">
        <v>0.87</v>
      </c>
      <c r="W31">
        <v>2.99</v>
      </c>
      <c r="X31">
        <v>0.28000000000000003</v>
      </c>
      <c r="Y31">
        <v>1</v>
      </c>
      <c r="Z31">
        <v>10</v>
      </c>
    </row>
    <row r="32" spans="1:26" x14ac:dyDescent="0.3">
      <c r="A32">
        <v>30</v>
      </c>
      <c r="B32">
        <v>100</v>
      </c>
      <c r="C32" t="s">
        <v>26</v>
      </c>
      <c r="D32">
        <v>6.2225000000000001</v>
      </c>
      <c r="E32">
        <v>16.07</v>
      </c>
      <c r="F32">
        <v>13.01</v>
      </c>
      <c r="G32">
        <v>55.76</v>
      </c>
      <c r="H32">
        <v>0.73</v>
      </c>
      <c r="I32">
        <v>14</v>
      </c>
      <c r="J32">
        <v>206.54</v>
      </c>
      <c r="K32">
        <v>54.38</v>
      </c>
      <c r="L32">
        <v>8.5</v>
      </c>
      <c r="M32">
        <v>12</v>
      </c>
      <c r="N32">
        <v>43.67</v>
      </c>
      <c r="O32">
        <v>25707.759999999998</v>
      </c>
      <c r="P32">
        <v>149.91999999999999</v>
      </c>
      <c r="Q32">
        <v>988.12</v>
      </c>
      <c r="R32">
        <v>45.61</v>
      </c>
      <c r="S32">
        <v>35.43</v>
      </c>
      <c r="T32">
        <v>4045.62</v>
      </c>
      <c r="U32">
        <v>0.78</v>
      </c>
      <c r="V32">
        <v>0.88</v>
      </c>
      <c r="W32">
        <v>2.99</v>
      </c>
      <c r="X32">
        <v>0.26</v>
      </c>
      <c r="Y32">
        <v>1</v>
      </c>
      <c r="Z32">
        <v>10</v>
      </c>
    </row>
    <row r="33" spans="1:26" x14ac:dyDescent="0.3">
      <c r="A33">
        <v>31</v>
      </c>
      <c r="B33">
        <v>100</v>
      </c>
      <c r="C33" t="s">
        <v>26</v>
      </c>
      <c r="D33">
        <v>6.2485999999999997</v>
      </c>
      <c r="E33">
        <v>16</v>
      </c>
      <c r="F33">
        <v>12.98</v>
      </c>
      <c r="G33">
        <v>59.91</v>
      </c>
      <c r="H33">
        <v>0.75</v>
      </c>
      <c r="I33">
        <v>13</v>
      </c>
      <c r="J33">
        <v>206.94</v>
      </c>
      <c r="K33">
        <v>54.38</v>
      </c>
      <c r="L33">
        <v>8.75</v>
      </c>
      <c r="M33">
        <v>11</v>
      </c>
      <c r="N33">
        <v>43.81</v>
      </c>
      <c r="O33">
        <v>25756.9</v>
      </c>
      <c r="P33">
        <v>146.85</v>
      </c>
      <c r="Q33">
        <v>988.08</v>
      </c>
      <c r="R33">
        <v>44.8</v>
      </c>
      <c r="S33">
        <v>35.43</v>
      </c>
      <c r="T33">
        <v>3643.82</v>
      </c>
      <c r="U33">
        <v>0.79</v>
      </c>
      <c r="V33">
        <v>0.88</v>
      </c>
      <c r="W33">
        <v>2.99</v>
      </c>
      <c r="X33">
        <v>0.23</v>
      </c>
      <c r="Y33">
        <v>1</v>
      </c>
      <c r="Z33">
        <v>10</v>
      </c>
    </row>
    <row r="34" spans="1:26" x14ac:dyDescent="0.3">
      <c r="A34">
        <v>32</v>
      </c>
      <c r="B34">
        <v>100</v>
      </c>
      <c r="C34" t="s">
        <v>26</v>
      </c>
      <c r="D34">
        <v>6.2426000000000004</v>
      </c>
      <c r="E34">
        <v>16.02</v>
      </c>
      <c r="F34">
        <v>13</v>
      </c>
      <c r="G34">
        <v>59.98</v>
      </c>
      <c r="H34">
        <v>0.77</v>
      </c>
      <c r="I34">
        <v>13</v>
      </c>
      <c r="J34">
        <v>207.34</v>
      </c>
      <c r="K34">
        <v>54.38</v>
      </c>
      <c r="L34">
        <v>9</v>
      </c>
      <c r="M34">
        <v>11</v>
      </c>
      <c r="N34">
        <v>43.96</v>
      </c>
      <c r="O34">
        <v>25806.1</v>
      </c>
      <c r="P34">
        <v>146.36000000000001</v>
      </c>
      <c r="Q34">
        <v>988.08</v>
      </c>
      <c r="R34">
        <v>45.31</v>
      </c>
      <c r="S34">
        <v>35.43</v>
      </c>
      <c r="T34">
        <v>3901.39</v>
      </c>
      <c r="U34">
        <v>0.78</v>
      </c>
      <c r="V34">
        <v>0.88</v>
      </c>
      <c r="W34">
        <v>2.99</v>
      </c>
      <c r="X34">
        <v>0.24</v>
      </c>
      <c r="Y34">
        <v>1</v>
      </c>
      <c r="Z34">
        <v>10</v>
      </c>
    </row>
    <row r="35" spans="1:26" x14ac:dyDescent="0.3">
      <c r="A35">
        <v>33</v>
      </c>
      <c r="B35">
        <v>100</v>
      </c>
      <c r="C35" t="s">
        <v>26</v>
      </c>
      <c r="D35">
        <v>6.2483000000000004</v>
      </c>
      <c r="E35">
        <v>16</v>
      </c>
      <c r="F35">
        <v>12.98</v>
      </c>
      <c r="G35">
        <v>59.92</v>
      </c>
      <c r="H35">
        <v>0.79</v>
      </c>
      <c r="I35">
        <v>13</v>
      </c>
      <c r="J35">
        <v>207.74</v>
      </c>
      <c r="K35">
        <v>54.38</v>
      </c>
      <c r="L35">
        <v>9.25</v>
      </c>
      <c r="M35">
        <v>11</v>
      </c>
      <c r="N35">
        <v>44.11</v>
      </c>
      <c r="O35">
        <v>25855.35</v>
      </c>
      <c r="P35">
        <v>144.57</v>
      </c>
      <c r="Q35">
        <v>988.08</v>
      </c>
      <c r="R35">
        <v>44.7</v>
      </c>
      <c r="S35">
        <v>35.43</v>
      </c>
      <c r="T35">
        <v>3597.84</v>
      </c>
      <c r="U35">
        <v>0.79</v>
      </c>
      <c r="V35">
        <v>0.88</v>
      </c>
      <c r="W35">
        <v>2.99</v>
      </c>
      <c r="X35">
        <v>0.23</v>
      </c>
      <c r="Y35">
        <v>1</v>
      </c>
      <c r="Z35">
        <v>10</v>
      </c>
    </row>
    <row r="36" spans="1:26" x14ac:dyDescent="0.3">
      <c r="A36">
        <v>34</v>
      </c>
      <c r="B36">
        <v>100</v>
      </c>
      <c r="C36" t="s">
        <v>26</v>
      </c>
      <c r="D36">
        <v>6.2686999999999999</v>
      </c>
      <c r="E36">
        <v>15.95</v>
      </c>
      <c r="F36">
        <v>12.97</v>
      </c>
      <c r="G36">
        <v>64.84</v>
      </c>
      <c r="H36">
        <v>0.81</v>
      </c>
      <c r="I36">
        <v>12</v>
      </c>
      <c r="J36">
        <v>208.14</v>
      </c>
      <c r="K36">
        <v>54.38</v>
      </c>
      <c r="L36">
        <v>9.5</v>
      </c>
      <c r="M36">
        <v>10</v>
      </c>
      <c r="N36">
        <v>44.26</v>
      </c>
      <c r="O36">
        <v>25904.65</v>
      </c>
      <c r="P36">
        <v>142.85</v>
      </c>
      <c r="Q36">
        <v>988.08</v>
      </c>
      <c r="R36">
        <v>44.52</v>
      </c>
      <c r="S36">
        <v>35.43</v>
      </c>
      <c r="T36">
        <v>3513.33</v>
      </c>
      <c r="U36">
        <v>0.8</v>
      </c>
      <c r="V36">
        <v>0.88</v>
      </c>
      <c r="W36">
        <v>2.98</v>
      </c>
      <c r="X36">
        <v>0.22</v>
      </c>
      <c r="Y36">
        <v>1</v>
      </c>
      <c r="Z36">
        <v>10</v>
      </c>
    </row>
    <row r="37" spans="1:26" x14ac:dyDescent="0.3">
      <c r="A37">
        <v>35</v>
      </c>
      <c r="B37">
        <v>100</v>
      </c>
      <c r="C37" t="s">
        <v>26</v>
      </c>
      <c r="D37">
        <v>6.2698</v>
      </c>
      <c r="E37">
        <v>15.95</v>
      </c>
      <c r="F37">
        <v>12.97</v>
      </c>
      <c r="G37">
        <v>64.83</v>
      </c>
      <c r="H37">
        <v>0.83</v>
      </c>
      <c r="I37">
        <v>12</v>
      </c>
      <c r="J37">
        <v>208.54</v>
      </c>
      <c r="K37">
        <v>54.38</v>
      </c>
      <c r="L37">
        <v>9.75</v>
      </c>
      <c r="M37">
        <v>7</v>
      </c>
      <c r="N37">
        <v>44.41</v>
      </c>
      <c r="O37">
        <v>25954</v>
      </c>
      <c r="P37">
        <v>142.74</v>
      </c>
      <c r="Q37">
        <v>988.11</v>
      </c>
      <c r="R37">
        <v>44.35</v>
      </c>
      <c r="S37">
        <v>35.43</v>
      </c>
      <c r="T37">
        <v>3428.22</v>
      </c>
      <c r="U37">
        <v>0.8</v>
      </c>
      <c r="V37">
        <v>0.88</v>
      </c>
      <c r="W37">
        <v>2.98</v>
      </c>
      <c r="X37">
        <v>0.21</v>
      </c>
      <c r="Y37">
        <v>1</v>
      </c>
      <c r="Z37">
        <v>10</v>
      </c>
    </row>
    <row r="38" spans="1:26" x14ac:dyDescent="0.3">
      <c r="A38">
        <v>36</v>
      </c>
      <c r="B38">
        <v>100</v>
      </c>
      <c r="C38" t="s">
        <v>26</v>
      </c>
      <c r="D38">
        <v>6.2676999999999996</v>
      </c>
      <c r="E38">
        <v>15.95</v>
      </c>
      <c r="F38">
        <v>12.97</v>
      </c>
      <c r="G38">
        <v>64.86</v>
      </c>
      <c r="H38">
        <v>0.85</v>
      </c>
      <c r="I38">
        <v>12</v>
      </c>
      <c r="J38">
        <v>208.94</v>
      </c>
      <c r="K38">
        <v>54.38</v>
      </c>
      <c r="L38">
        <v>10</v>
      </c>
      <c r="M38">
        <v>6</v>
      </c>
      <c r="N38">
        <v>44.56</v>
      </c>
      <c r="O38">
        <v>26003.41</v>
      </c>
      <c r="P38">
        <v>141.91999999999999</v>
      </c>
      <c r="Q38">
        <v>988.08</v>
      </c>
      <c r="R38">
        <v>44.3</v>
      </c>
      <c r="S38">
        <v>35.43</v>
      </c>
      <c r="T38">
        <v>3399.89</v>
      </c>
      <c r="U38">
        <v>0.8</v>
      </c>
      <c r="V38">
        <v>0.88</v>
      </c>
      <c r="W38">
        <v>2.99</v>
      </c>
      <c r="X38">
        <v>0.22</v>
      </c>
      <c r="Y38">
        <v>1</v>
      </c>
      <c r="Z38">
        <v>10</v>
      </c>
    </row>
    <row r="39" spans="1:26" x14ac:dyDescent="0.3">
      <c r="A39">
        <v>37</v>
      </c>
      <c r="B39">
        <v>100</v>
      </c>
      <c r="C39" t="s">
        <v>26</v>
      </c>
      <c r="D39">
        <v>6.2662000000000004</v>
      </c>
      <c r="E39">
        <v>15.96</v>
      </c>
      <c r="F39">
        <v>12.98</v>
      </c>
      <c r="G39">
        <v>64.88</v>
      </c>
      <c r="H39">
        <v>0.87</v>
      </c>
      <c r="I39">
        <v>12</v>
      </c>
      <c r="J39">
        <v>209.34</v>
      </c>
      <c r="K39">
        <v>54.38</v>
      </c>
      <c r="L39">
        <v>10.25</v>
      </c>
      <c r="M39">
        <v>4</v>
      </c>
      <c r="N39">
        <v>44.71</v>
      </c>
      <c r="O39">
        <v>26052.86</v>
      </c>
      <c r="P39">
        <v>141.49</v>
      </c>
      <c r="Q39">
        <v>988.08</v>
      </c>
      <c r="R39">
        <v>44.42</v>
      </c>
      <c r="S39">
        <v>35.43</v>
      </c>
      <c r="T39">
        <v>3460.46</v>
      </c>
      <c r="U39">
        <v>0.8</v>
      </c>
      <c r="V39">
        <v>0.88</v>
      </c>
      <c r="W39">
        <v>2.99</v>
      </c>
      <c r="X39">
        <v>0.22</v>
      </c>
      <c r="Y39">
        <v>1</v>
      </c>
      <c r="Z39">
        <v>10</v>
      </c>
    </row>
    <row r="40" spans="1:26" x14ac:dyDescent="0.3">
      <c r="A40">
        <v>38</v>
      </c>
      <c r="B40">
        <v>100</v>
      </c>
      <c r="C40" t="s">
        <v>26</v>
      </c>
      <c r="D40">
        <v>6.2882999999999996</v>
      </c>
      <c r="E40">
        <v>15.9</v>
      </c>
      <c r="F40">
        <v>12.96</v>
      </c>
      <c r="G40">
        <v>70.680000000000007</v>
      </c>
      <c r="H40">
        <v>0.89</v>
      </c>
      <c r="I40">
        <v>11</v>
      </c>
      <c r="J40">
        <v>209.74</v>
      </c>
      <c r="K40">
        <v>54.38</v>
      </c>
      <c r="L40">
        <v>10.5</v>
      </c>
      <c r="M40">
        <v>2</v>
      </c>
      <c r="N40">
        <v>44.87</v>
      </c>
      <c r="O40">
        <v>26102.37</v>
      </c>
      <c r="P40">
        <v>140.66</v>
      </c>
      <c r="Q40">
        <v>988.08</v>
      </c>
      <c r="R40">
        <v>43.77</v>
      </c>
      <c r="S40">
        <v>35.43</v>
      </c>
      <c r="T40">
        <v>3142.08</v>
      </c>
      <c r="U40">
        <v>0.81</v>
      </c>
      <c r="V40">
        <v>0.88</v>
      </c>
      <c r="W40">
        <v>2.99</v>
      </c>
      <c r="X40">
        <v>0.2</v>
      </c>
      <c r="Y40">
        <v>1</v>
      </c>
      <c r="Z40">
        <v>10</v>
      </c>
    </row>
    <row r="41" spans="1:26" x14ac:dyDescent="0.3">
      <c r="A41">
        <v>39</v>
      </c>
      <c r="B41">
        <v>100</v>
      </c>
      <c r="C41" t="s">
        <v>26</v>
      </c>
      <c r="D41">
        <v>6.2899000000000003</v>
      </c>
      <c r="E41">
        <v>15.9</v>
      </c>
      <c r="F41">
        <v>12.95</v>
      </c>
      <c r="G41">
        <v>70.66</v>
      </c>
      <c r="H41">
        <v>0.91</v>
      </c>
      <c r="I41">
        <v>11</v>
      </c>
      <c r="J41">
        <v>210.14</v>
      </c>
      <c r="K41">
        <v>54.38</v>
      </c>
      <c r="L41">
        <v>10.75</v>
      </c>
      <c r="M41">
        <v>0</v>
      </c>
      <c r="N41">
        <v>45.02</v>
      </c>
      <c r="O41">
        <v>26151.93</v>
      </c>
      <c r="P41">
        <v>141.04</v>
      </c>
      <c r="Q41">
        <v>988.18</v>
      </c>
      <c r="R41">
        <v>43.75</v>
      </c>
      <c r="S41">
        <v>35.43</v>
      </c>
      <c r="T41">
        <v>3131.04</v>
      </c>
      <c r="U41">
        <v>0.81</v>
      </c>
      <c r="V41">
        <v>0.88</v>
      </c>
      <c r="W41">
        <v>2.99</v>
      </c>
      <c r="X41">
        <v>0.2</v>
      </c>
      <c r="Y41">
        <v>1</v>
      </c>
      <c r="Z41">
        <v>10</v>
      </c>
    </row>
    <row r="42" spans="1:26" x14ac:dyDescent="0.3">
      <c r="A42">
        <v>0</v>
      </c>
      <c r="B42">
        <v>140</v>
      </c>
      <c r="C42" t="s">
        <v>26</v>
      </c>
      <c r="D42">
        <v>3.2004000000000001</v>
      </c>
      <c r="E42">
        <v>31.25</v>
      </c>
      <c r="F42">
        <v>17.170000000000002</v>
      </c>
      <c r="G42">
        <v>4.8099999999999996</v>
      </c>
      <c r="H42">
        <v>0.06</v>
      </c>
      <c r="I42">
        <v>214</v>
      </c>
      <c r="J42">
        <v>274.08999999999997</v>
      </c>
      <c r="K42">
        <v>60.56</v>
      </c>
      <c r="L42">
        <v>1</v>
      </c>
      <c r="M42">
        <v>212</v>
      </c>
      <c r="N42">
        <v>72.53</v>
      </c>
      <c r="O42">
        <v>34038.11</v>
      </c>
      <c r="P42">
        <v>297.18</v>
      </c>
      <c r="Q42">
        <v>988.54</v>
      </c>
      <c r="R42">
        <v>175.09</v>
      </c>
      <c r="S42">
        <v>35.43</v>
      </c>
      <c r="T42">
        <v>67784.62</v>
      </c>
      <c r="U42">
        <v>0.2</v>
      </c>
      <c r="V42">
        <v>0.66</v>
      </c>
      <c r="W42">
        <v>3.33</v>
      </c>
      <c r="X42">
        <v>4.41</v>
      </c>
      <c r="Y42">
        <v>1</v>
      </c>
      <c r="Z42">
        <v>10</v>
      </c>
    </row>
    <row r="43" spans="1:26" x14ac:dyDescent="0.3">
      <c r="A43">
        <v>1</v>
      </c>
      <c r="B43">
        <v>140</v>
      </c>
      <c r="C43" t="s">
        <v>26</v>
      </c>
      <c r="D43">
        <v>3.6680999999999999</v>
      </c>
      <c r="E43">
        <v>27.26</v>
      </c>
      <c r="F43">
        <v>16.010000000000002</v>
      </c>
      <c r="G43">
        <v>6</v>
      </c>
      <c r="H43">
        <v>0.08</v>
      </c>
      <c r="I43">
        <v>160</v>
      </c>
      <c r="J43">
        <v>274.57</v>
      </c>
      <c r="K43">
        <v>60.56</v>
      </c>
      <c r="L43">
        <v>1.25</v>
      </c>
      <c r="M43">
        <v>158</v>
      </c>
      <c r="N43">
        <v>72.760000000000005</v>
      </c>
      <c r="O43">
        <v>34097.72</v>
      </c>
      <c r="P43">
        <v>276.33</v>
      </c>
      <c r="Q43">
        <v>988.39</v>
      </c>
      <c r="R43">
        <v>139.07</v>
      </c>
      <c r="S43">
        <v>35.43</v>
      </c>
      <c r="T43">
        <v>50047.02</v>
      </c>
      <c r="U43">
        <v>0.25</v>
      </c>
      <c r="V43">
        <v>0.71</v>
      </c>
      <c r="W43">
        <v>3.22</v>
      </c>
      <c r="X43">
        <v>3.25</v>
      </c>
      <c r="Y43">
        <v>1</v>
      </c>
      <c r="Z43">
        <v>10</v>
      </c>
    </row>
    <row r="44" spans="1:26" x14ac:dyDescent="0.3">
      <c r="A44">
        <v>2</v>
      </c>
      <c r="B44">
        <v>140</v>
      </c>
      <c r="C44" t="s">
        <v>26</v>
      </c>
      <c r="D44">
        <v>4.0209999999999999</v>
      </c>
      <c r="E44">
        <v>24.87</v>
      </c>
      <c r="F44">
        <v>15.34</v>
      </c>
      <c r="G44">
        <v>7.25</v>
      </c>
      <c r="H44">
        <v>0.1</v>
      </c>
      <c r="I44">
        <v>127</v>
      </c>
      <c r="J44">
        <v>275.05</v>
      </c>
      <c r="K44">
        <v>60.56</v>
      </c>
      <c r="L44">
        <v>1.5</v>
      </c>
      <c r="M44">
        <v>125</v>
      </c>
      <c r="N44">
        <v>73</v>
      </c>
      <c r="O44">
        <v>34157.42</v>
      </c>
      <c r="P44">
        <v>264.16000000000003</v>
      </c>
      <c r="Q44">
        <v>988.45</v>
      </c>
      <c r="R44">
        <v>117.74</v>
      </c>
      <c r="S44">
        <v>35.43</v>
      </c>
      <c r="T44">
        <v>39548.11</v>
      </c>
      <c r="U44">
        <v>0.3</v>
      </c>
      <c r="V44">
        <v>0.74</v>
      </c>
      <c r="W44">
        <v>3.18</v>
      </c>
      <c r="X44">
        <v>2.58</v>
      </c>
      <c r="Y44">
        <v>1</v>
      </c>
      <c r="Z44">
        <v>10</v>
      </c>
    </row>
    <row r="45" spans="1:26" x14ac:dyDescent="0.3">
      <c r="A45">
        <v>3</v>
      </c>
      <c r="B45">
        <v>140</v>
      </c>
      <c r="C45" t="s">
        <v>26</v>
      </c>
      <c r="D45">
        <v>4.2869000000000002</v>
      </c>
      <c r="E45">
        <v>23.33</v>
      </c>
      <c r="F45">
        <v>14.89</v>
      </c>
      <c r="G45">
        <v>8.43</v>
      </c>
      <c r="H45">
        <v>0.11</v>
      </c>
      <c r="I45">
        <v>106</v>
      </c>
      <c r="J45">
        <v>275.54000000000002</v>
      </c>
      <c r="K45">
        <v>60.56</v>
      </c>
      <c r="L45">
        <v>1.75</v>
      </c>
      <c r="M45">
        <v>104</v>
      </c>
      <c r="N45">
        <v>73.23</v>
      </c>
      <c r="O45">
        <v>34217.22</v>
      </c>
      <c r="P45">
        <v>255.87</v>
      </c>
      <c r="Q45">
        <v>988.5</v>
      </c>
      <c r="R45">
        <v>104.22</v>
      </c>
      <c r="S45">
        <v>35.43</v>
      </c>
      <c r="T45">
        <v>32893.230000000003</v>
      </c>
      <c r="U45">
        <v>0.34</v>
      </c>
      <c r="V45">
        <v>0.77</v>
      </c>
      <c r="W45">
        <v>3.13</v>
      </c>
      <c r="X45">
        <v>2.13</v>
      </c>
      <c r="Y45">
        <v>1</v>
      </c>
      <c r="Z45">
        <v>10</v>
      </c>
    </row>
    <row r="46" spans="1:26" x14ac:dyDescent="0.3">
      <c r="A46">
        <v>4</v>
      </c>
      <c r="B46">
        <v>140</v>
      </c>
      <c r="C46" t="s">
        <v>26</v>
      </c>
      <c r="D46">
        <v>4.5003000000000002</v>
      </c>
      <c r="E46">
        <v>22.22</v>
      </c>
      <c r="F46">
        <v>14.57</v>
      </c>
      <c r="G46">
        <v>9.6</v>
      </c>
      <c r="H46">
        <v>0.13</v>
      </c>
      <c r="I46">
        <v>91</v>
      </c>
      <c r="J46">
        <v>276.02</v>
      </c>
      <c r="K46">
        <v>60.56</v>
      </c>
      <c r="L46">
        <v>2</v>
      </c>
      <c r="M46">
        <v>89</v>
      </c>
      <c r="N46">
        <v>73.47</v>
      </c>
      <c r="O46">
        <v>34277.1</v>
      </c>
      <c r="P46">
        <v>249.75</v>
      </c>
      <c r="Q46">
        <v>988.24</v>
      </c>
      <c r="R46">
        <v>94.17</v>
      </c>
      <c r="S46">
        <v>35.43</v>
      </c>
      <c r="T46">
        <v>27941.79</v>
      </c>
      <c r="U46">
        <v>0.38</v>
      </c>
      <c r="V46">
        <v>0.78</v>
      </c>
      <c r="W46">
        <v>3.11</v>
      </c>
      <c r="X46">
        <v>1.81</v>
      </c>
      <c r="Y46">
        <v>1</v>
      </c>
      <c r="Z46">
        <v>10</v>
      </c>
    </row>
    <row r="47" spans="1:26" x14ac:dyDescent="0.3">
      <c r="A47">
        <v>5</v>
      </c>
      <c r="B47">
        <v>140</v>
      </c>
      <c r="C47" t="s">
        <v>26</v>
      </c>
      <c r="D47">
        <v>4.6862000000000004</v>
      </c>
      <c r="E47">
        <v>21.34</v>
      </c>
      <c r="F47">
        <v>14.31</v>
      </c>
      <c r="G47">
        <v>10.87</v>
      </c>
      <c r="H47">
        <v>0.14000000000000001</v>
      </c>
      <c r="I47">
        <v>79</v>
      </c>
      <c r="J47">
        <v>276.51</v>
      </c>
      <c r="K47">
        <v>60.56</v>
      </c>
      <c r="L47">
        <v>2.25</v>
      </c>
      <c r="M47">
        <v>77</v>
      </c>
      <c r="N47">
        <v>73.709999999999994</v>
      </c>
      <c r="O47">
        <v>34337.08</v>
      </c>
      <c r="P47">
        <v>244.63</v>
      </c>
      <c r="Q47">
        <v>988.39</v>
      </c>
      <c r="R47">
        <v>86.28</v>
      </c>
      <c r="S47">
        <v>35.43</v>
      </c>
      <c r="T47">
        <v>24057.42</v>
      </c>
      <c r="U47">
        <v>0.41</v>
      </c>
      <c r="V47">
        <v>0.8</v>
      </c>
      <c r="W47">
        <v>3.09</v>
      </c>
      <c r="X47">
        <v>1.56</v>
      </c>
      <c r="Y47">
        <v>1</v>
      </c>
      <c r="Z47">
        <v>10</v>
      </c>
    </row>
    <row r="48" spans="1:26" x14ac:dyDescent="0.3">
      <c r="A48">
        <v>6</v>
      </c>
      <c r="B48">
        <v>140</v>
      </c>
      <c r="C48" t="s">
        <v>26</v>
      </c>
      <c r="D48">
        <v>4.8108000000000004</v>
      </c>
      <c r="E48">
        <v>20.79</v>
      </c>
      <c r="F48">
        <v>14.18</v>
      </c>
      <c r="G48">
        <v>11.98</v>
      </c>
      <c r="H48">
        <v>0.16</v>
      </c>
      <c r="I48">
        <v>71</v>
      </c>
      <c r="J48">
        <v>277</v>
      </c>
      <c r="K48">
        <v>60.56</v>
      </c>
      <c r="L48">
        <v>2.5</v>
      </c>
      <c r="M48">
        <v>69</v>
      </c>
      <c r="N48">
        <v>73.94</v>
      </c>
      <c r="O48">
        <v>34397.15</v>
      </c>
      <c r="P48">
        <v>241.88</v>
      </c>
      <c r="Q48">
        <v>988.29</v>
      </c>
      <c r="R48">
        <v>81.83</v>
      </c>
      <c r="S48">
        <v>35.43</v>
      </c>
      <c r="T48">
        <v>21873.279999999999</v>
      </c>
      <c r="U48">
        <v>0.43</v>
      </c>
      <c r="V48">
        <v>0.8</v>
      </c>
      <c r="W48">
        <v>3.09</v>
      </c>
      <c r="X48">
        <v>1.42</v>
      </c>
      <c r="Y48">
        <v>1</v>
      </c>
      <c r="Z48">
        <v>10</v>
      </c>
    </row>
    <row r="49" spans="1:26" x14ac:dyDescent="0.3">
      <c r="A49">
        <v>7</v>
      </c>
      <c r="B49">
        <v>140</v>
      </c>
      <c r="C49" t="s">
        <v>26</v>
      </c>
      <c r="D49">
        <v>4.96</v>
      </c>
      <c r="E49">
        <v>20.16</v>
      </c>
      <c r="F49">
        <v>13.97</v>
      </c>
      <c r="G49">
        <v>13.31</v>
      </c>
      <c r="H49">
        <v>0.18</v>
      </c>
      <c r="I49">
        <v>63</v>
      </c>
      <c r="J49">
        <v>277.48</v>
      </c>
      <c r="K49">
        <v>60.56</v>
      </c>
      <c r="L49">
        <v>2.75</v>
      </c>
      <c r="M49">
        <v>61</v>
      </c>
      <c r="N49">
        <v>74.180000000000007</v>
      </c>
      <c r="O49">
        <v>34457.31</v>
      </c>
      <c r="P49">
        <v>237.67</v>
      </c>
      <c r="Q49">
        <v>988.12</v>
      </c>
      <c r="R49">
        <v>75.650000000000006</v>
      </c>
      <c r="S49">
        <v>35.43</v>
      </c>
      <c r="T49">
        <v>18819.349999999999</v>
      </c>
      <c r="U49">
        <v>0.47</v>
      </c>
      <c r="V49">
        <v>0.82</v>
      </c>
      <c r="W49">
        <v>3.06</v>
      </c>
      <c r="X49">
        <v>1.22</v>
      </c>
      <c r="Y49">
        <v>1</v>
      </c>
      <c r="Z49">
        <v>10</v>
      </c>
    </row>
    <row r="50" spans="1:26" x14ac:dyDescent="0.3">
      <c r="A50">
        <v>8</v>
      </c>
      <c r="B50">
        <v>140</v>
      </c>
      <c r="C50" t="s">
        <v>26</v>
      </c>
      <c r="D50">
        <v>5.0404999999999998</v>
      </c>
      <c r="E50">
        <v>19.84</v>
      </c>
      <c r="F50">
        <v>13.91</v>
      </c>
      <c r="G50">
        <v>14.39</v>
      </c>
      <c r="H50">
        <v>0.19</v>
      </c>
      <c r="I50">
        <v>58</v>
      </c>
      <c r="J50">
        <v>277.97000000000003</v>
      </c>
      <c r="K50">
        <v>60.56</v>
      </c>
      <c r="L50">
        <v>3</v>
      </c>
      <c r="M50">
        <v>56</v>
      </c>
      <c r="N50">
        <v>74.42</v>
      </c>
      <c r="O50">
        <v>34517.57</v>
      </c>
      <c r="P50">
        <v>235.95</v>
      </c>
      <c r="Q50">
        <v>988.33</v>
      </c>
      <c r="R50">
        <v>73.55</v>
      </c>
      <c r="S50">
        <v>35.43</v>
      </c>
      <c r="T50">
        <v>17797.509999999998</v>
      </c>
      <c r="U50">
        <v>0.48</v>
      </c>
      <c r="V50">
        <v>0.82</v>
      </c>
      <c r="W50">
        <v>3.06</v>
      </c>
      <c r="X50">
        <v>1.1499999999999999</v>
      </c>
      <c r="Y50">
        <v>1</v>
      </c>
      <c r="Z50">
        <v>10</v>
      </c>
    </row>
    <row r="51" spans="1:26" x14ac:dyDescent="0.3">
      <c r="A51">
        <v>9</v>
      </c>
      <c r="B51">
        <v>140</v>
      </c>
      <c r="C51" t="s">
        <v>26</v>
      </c>
      <c r="D51">
        <v>5.1360999999999999</v>
      </c>
      <c r="E51">
        <v>19.47</v>
      </c>
      <c r="F51">
        <v>13.8</v>
      </c>
      <c r="G51">
        <v>15.62</v>
      </c>
      <c r="H51">
        <v>0.21</v>
      </c>
      <c r="I51">
        <v>53</v>
      </c>
      <c r="J51">
        <v>278.45999999999998</v>
      </c>
      <c r="K51">
        <v>60.56</v>
      </c>
      <c r="L51">
        <v>3.25</v>
      </c>
      <c r="M51">
        <v>51</v>
      </c>
      <c r="N51">
        <v>74.66</v>
      </c>
      <c r="O51">
        <v>34577.919999999998</v>
      </c>
      <c r="P51">
        <v>233.59</v>
      </c>
      <c r="Q51">
        <v>988.21</v>
      </c>
      <c r="R51">
        <v>70.38</v>
      </c>
      <c r="S51">
        <v>35.43</v>
      </c>
      <c r="T51">
        <v>16234.74</v>
      </c>
      <c r="U51">
        <v>0.5</v>
      </c>
      <c r="V51">
        <v>0.83</v>
      </c>
      <c r="W51">
        <v>3.05</v>
      </c>
      <c r="X51">
        <v>1.05</v>
      </c>
      <c r="Y51">
        <v>1</v>
      </c>
      <c r="Z51">
        <v>10</v>
      </c>
    </row>
    <row r="52" spans="1:26" x14ac:dyDescent="0.3">
      <c r="A52">
        <v>10</v>
      </c>
      <c r="B52">
        <v>140</v>
      </c>
      <c r="C52" t="s">
        <v>26</v>
      </c>
      <c r="D52">
        <v>5.2122999999999999</v>
      </c>
      <c r="E52">
        <v>19.190000000000001</v>
      </c>
      <c r="F52">
        <v>13.73</v>
      </c>
      <c r="G52">
        <v>16.809999999999999</v>
      </c>
      <c r="H52">
        <v>0.22</v>
      </c>
      <c r="I52">
        <v>49</v>
      </c>
      <c r="J52">
        <v>278.95</v>
      </c>
      <c r="K52">
        <v>60.56</v>
      </c>
      <c r="L52">
        <v>3.5</v>
      </c>
      <c r="M52">
        <v>47</v>
      </c>
      <c r="N52">
        <v>74.900000000000006</v>
      </c>
      <c r="O52">
        <v>34638.36</v>
      </c>
      <c r="P52">
        <v>231.68</v>
      </c>
      <c r="Q52">
        <v>988.34</v>
      </c>
      <c r="R52">
        <v>67.77</v>
      </c>
      <c r="S52">
        <v>35.43</v>
      </c>
      <c r="T52">
        <v>14948.62</v>
      </c>
      <c r="U52">
        <v>0.52</v>
      </c>
      <c r="V52">
        <v>0.83</v>
      </c>
      <c r="W52">
        <v>3.05</v>
      </c>
      <c r="X52">
        <v>0.97</v>
      </c>
      <c r="Y52">
        <v>1</v>
      </c>
      <c r="Z52">
        <v>10</v>
      </c>
    </row>
    <row r="53" spans="1:26" x14ac:dyDescent="0.3">
      <c r="A53">
        <v>11</v>
      </c>
      <c r="B53">
        <v>140</v>
      </c>
      <c r="C53" t="s">
        <v>26</v>
      </c>
      <c r="D53">
        <v>5.2910000000000004</v>
      </c>
      <c r="E53">
        <v>18.899999999999999</v>
      </c>
      <c r="F53">
        <v>13.65</v>
      </c>
      <c r="G53">
        <v>18.2</v>
      </c>
      <c r="H53">
        <v>0.24</v>
      </c>
      <c r="I53">
        <v>45</v>
      </c>
      <c r="J53">
        <v>279.44</v>
      </c>
      <c r="K53">
        <v>60.56</v>
      </c>
      <c r="L53">
        <v>3.75</v>
      </c>
      <c r="M53">
        <v>43</v>
      </c>
      <c r="N53">
        <v>75.14</v>
      </c>
      <c r="O53">
        <v>34698.9</v>
      </c>
      <c r="P53">
        <v>229.78</v>
      </c>
      <c r="Q53">
        <v>988.15</v>
      </c>
      <c r="R53">
        <v>65.66</v>
      </c>
      <c r="S53">
        <v>35.43</v>
      </c>
      <c r="T53">
        <v>13918.28</v>
      </c>
      <c r="U53">
        <v>0.54</v>
      </c>
      <c r="V53">
        <v>0.84</v>
      </c>
      <c r="W53">
        <v>3.04</v>
      </c>
      <c r="X53">
        <v>0.89</v>
      </c>
      <c r="Y53">
        <v>1</v>
      </c>
      <c r="Z53">
        <v>10</v>
      </c>
    </row>
    <row r="54" spans="1:26" x14ac:dyDescent="0.3">
      <c r="A54">
        <v>12</v>
      </c>
      <c r="B54">
        <v>140</v>
      </c>
      <c r="C54" t="s">
        <v>26</v>
      </c>
      <c r="D54">
        <v>5.3597999999999999</v>
      </c>
      <c r="E54">
        <v>18.66</v>
      </c>
      <c r="F54">
        <v>13.56</v>
      </c>
      <c r="G54">
        <v>19.38</v>
      </c>
      <c r="H54">
        <v>0.25</v>
      </c>
      <c r="I54">
        <v>42</v>
      </c>
      <c r="J54">
        <v>279.94</v>
      </c>
      <c r="K54">
        <v>60.56</v>
      </c>
      <c r="L54">
        <v>4</v>
      </c>
      <c r="M54">
        <v>40</v>
      </c>
      <c r="N54">
        <v>75.38</v>
      </c>
      <c r="O54">
        <v>34759.54</v>
      </c>
      <c r="P54">
        <v>227.72</v>
      </c>
      <c r="Q54">
        <v>988.16</v>
      </c>
      <c r="R54">
        <v>63</v>
      </c>
      <c r="S54">
        <v>35.43</v>
      </c>
      <c r="T54">
        <v>12599.12</v>
      </c>
      <c r="U54">
        <v>0.56000000000000005</v>
      </c>
      <c r="V54">
        <v>0.84</v>
      </c>
      <c r="W54">
        <v>3.03</v>
      </c>
      <c r="X54">
        <v>0.81</v>
      </c>
      <c r="Y54">
        <v>1</v>
      </c>
      <c r="Z54">
        <v>10</v>
      </c>
    </row>
    <row r="55" spans="1:26" x14ac:dyDescent="0.3">
      <c r="A55">
        <v>13</v>
      </c>
      <c r="B55">
        <v>140</v>
      </c>
      <c r="C55" t="s">
        <v>26</v>
      </c>
      <c r="D55">
        <v>5.3977000000000004</v>
      </c>
      <c r="E55">
        <v>18.53</v>
      </c>
      <c r="F55">
        <v>13.54</v>
      </c>
      <c r="G55">
        <v>20.3</v>
      </c>
      <c r="H55">
        <v>0.27</v>
      </c>
      <c r="I55">
        <v>40</v>
      </c>
      <c r="J55">
        <v>280.43</v>
      </c>
      <c r="K55">
        <v>60.56</v>
      </c>
      <c r="L55">
        <v>4.25</v>
      </c>
      <c r="M55">
        <v>38</v>
      </c>
      <c r="N55">
        <v>75.62</v>
      </c>
      <c r="O55">
        <v>34820.269999999997</v>
      </c>
      <c r="P55">
        <v>226.67</v>
      </c>
      <c r="Q55">
        <v>988.19</v>
      </c>
      <c r="R55">
        <v>62.12</v>
      </c>
      <c r="S55">
        <v>35.43</v>
      </c>
      <c r="T55">
        <v>12170.49</v>
      </c>
      <c r="U55">
        <v>0.56999999999999995</v>
      </c>
      <c r="V55">
        <v>0.84</v>
      </c>
      <c r="W55">
        <v>3.03</v>
      </c>
      <c r="X55">
        <v>0.78</v>
      </c>
      <c r="Y55">
        <v>1</v>
      </c>
      <c r="Z55">
        <v>10</v>
      </c>
    </row>
    <row r="56" spans="1:26" x14ac:dyDescent="0.3">
      <c r="A56">
        <v>14</v>
      </c>
      <c r="B56">
        <v>140</v>
      </c>
      <c r="C56" t="s">
        <v>26</v>
      </c>
      <c r="D56">
        <v>5.4618000000000002</v>
      </c>
      <c r="E56">
        <v>18.309999999999999</v>
      </c>
      <c r="F56">
        <v>13.48</v>
      </c>
      <c r="G56">
        <v>21.85</v>
      </c>
      <c r="H56">
        <v>0.28999999999999998</v>
      </c>
      <c r="I56">
        <v>37</v>
      </c>
      <c r="J56">
        <v>280.92</v>
      </c>
      <c r="K56">
        <v>60.56</v>
      </c>
      <c r="L56">
        <v>4.5</v>
      </c>
      <c r="M56">
        <v>35</v>
      </c>
      <c r="N56">
        <v>75.87</v>
      </c>
      <c r="O56">
        <v>34881.089999999997</v>
      </c>
      <c r="P56">
        <v>225.13</v>
      </c>
      <c r="Q56">
        <v>988.17</v>
      </c>
      <c r="R56">
        <v>60.19</v>
      </c>
      <c r="S56">
        <v>35.43</v>
      </c>
      <c r="T56">
        <v>11220.82</v>
      </c>
      <c r="U56">
        <v>0.59</v>
      </c>
      <c r="V56">
        <v>0.85</v>
      </c>
      <c r="W56">
        <v>3.02</v>
      </c>
      <c r="X56">
        <v>0.72</v>
      </c>
      <c r="Y56">
        <v>1</v>
      </c>
      <c r="Z56">
        <v>10</v>
      </c>
    </row>
    <row r="57" spans="1:26" x14ac:dyDescent="0.3">
      <c r="A57">
        <v>15</v>
      </c>
      <c r="B57">
        <v>140</v>
      </c>
      <c r="C57" t="s">
        <v>26</v>
      </c>
      <c r="D57">
        <v>5.508</v>
      </c>
      <c r="E57">
        <v>18.16</v>
      </c>
      <c r="F57">
        <v>13.43</v>
      </c>
      <c r="G57">
        <v>23.02</v>
      </c>
      <c r="H57">
        <v>0.3</v>
      </c>
      <c r="I57">
        <v>35</v>
      </c>
      <c r="J57">
        <v>281.41000000000003</v>
      </c>
      <c r="K57">
        <v>60.56</v>
      </c>
      <c r="L57">
        <v>4.75</v>
      </c>
      <c r="M57">
        <v>33</v>
      </c>
      <c r="N57">
        <v>76.11</v>
      </c>
      <c r="O57">
        <v>34942.019999999997</v>
      </c>
      <c r="P57">
        <v>223.81</v>
      </c>
      <c r="Q57">
        <v>988.13</v>
      </c>
      <c r="R57">
        <v>58.61</v>
      </c>
      <c r="S57">
        <v>35.43</v>
      </c>
      <c r="T57">
        <v>10439.129999999999</v>
      </c>
      <c r="U57">
        <v>0.6</v>
      </c>
      <c r="V57">
        <v>0.85</v>
      </c>
      <c r="W57">
        <v>3.02</v>
      </c>
      <c r="X57">
        <v>0.67</v>
      </c>
      <c r="Y57">
        <v>1</v>
      </c>
      <c r="Z57">
        <v>10</v>
      </c>
    </row>
    <row r="58" spans="1:26" x14ac:dyDescent="0.3">
      <c r="A58">
        <v>16</v>
      </c>
      <c r="B58">
        <v>140</v>
      </c>
      <c r="C58" t="s">
        <v>26</v>
      </c>
      <c r="D58">
        <v>5.5507999999999997</v>
      </c>
      <c r="E58">
        <v>18.02</v>
      </c>
      <c r="F58">
        <v>13.39</v>
      </c>
      <c r="G58">
        <v>24.35</v>
      </c>
      <c r="H58">
        <v>0.32</v>
      </c>
      <c r="I58">
        <v>33</v>
      </c>
      <c r="J58">
        <v>281.91000000000003</v>
      </c>
      <c r="K58">
        <v>60.56</v>
      </c>
      <c r="L58">
        <v>5</v>
      </c>
      <c r="M58">
        <v>31</v>
      </c>
      <c r="N58">
        <v>76.349999999999994</v>
      </c>
      <c r="O58">
        <v>35003.040000000001</v>
      </c>
      <c r="P58">
        <v>222.23</v>
      </c>
      <c r="Q58">
        <v>988.14</v>
      </c>
      <c r="R58">
        <v>57.89</v>
      </c>
      <c r="S58">
        <v>35.43</v>
      </c>
      <c r="T58">
        <v>10093.15</v>
      </c>
      <c r="U58">
        <v>0.61</v>
      </c>
      <c r="V58">
        <v>0.85</v>
      </c>
      <c r="W58">
        <v>3.01</v>
      </c>
      <c r="X58">
        <v>0.64</v>
      </c>
      <c r="Y58">
        <v>1</v>
      </c>
      <c r="Z58">
        <v>10</v>
      </c>
    </row>
    <row r="59" spans="1:26" x14ac:dyDescent="0.3">
      <c r="A59">
        <v>17</v>
      </c>
      <c r="B59">
        <v>140</v>
      </c>
      <c r="C59" t="s">
        <v>26</v>
      </c>
      <c r="D59">
        <v>5.5712999999999999</v>
      </c>
      <c r="E59">
        <v>17.95</v>
      </c>
      <c r="F59">
        <v>13.38</v>
      </c>
      <c r="G59">
        <v>25.08</v>
      </c>
      <c r="H59">
        <v>0.33</v>
      </c>
      <c r="I59">
        <v>32</v>
      </c>
      <c r="J59">
        <v>282.39999999999998</v>
      </c>
      <c r="K59">
        <v>60.56</v>
      </c>
      <c r="L59">
        <v>5.25</v>
      </c>
      <c r="M59">
        <v>30</v>
      </c>
      <c r="N59">
        <v>76.599999999999994</v>
      </c>
      <c r="O59">
        <v>35064.15</v>
      </c>
      <c r="P59">
        <v>221.38</v>
      </c>
      <c r="Q59">
        <v>988.31</v>
      </c>
      <c r="R59">
        <v>57.24</v>
      </c>
      <c r="S59">
        <v>35.43</v>
      </c>
      <c r="T59">
        <v>9770.8700000000008</v>
      </c>
      <c r="U59">
        <v>0.62</v>
      </c>
      <c r="V59">
        <v>0.85</v>
      </c>
      <c r="W59">
        <v>3.01</v>
      </c>
      <c r="X59">
        <v>0.62</v>
      </c>
      <c r="Y59">
        <v>1</v>
      </c>
      <c r="Z59">
        <v>10</v>
      </c>
    </row>
    <row r="60" spans="1:26" x14ac:dyDescent="0.3">
      <c r="A60">
        <v>18</v>
      </c>
      <c r="B60">
        <v>140</v>
      </c>
      <c r="C60" t="s">
        <v>26</v>
      </c>
      <c r="D60">
        <v>5.6153000000000004</v>
      </c>
      <c r="E60">
        <v>17.809999999999999</v>
      </c>
      <c r="F60">
        <v>13.34</v>
      </c>
      <c r="G60">
        <v>26.68</v>
      </c>
      <c r="H60">
        <v>0.35</v>
      </c>
      <c r="I60">
        <v>30</v>
      </c>
      <c r="J60">
        <v>282.89999999999998</v>
      </c>
      <c r="K60">
        <v>60.56</v>
      </c>
      <c r="L60">
        <v>5.5</v>
      </c>
      <c r="M60">
        <v>28</v>
      </c>
      <c r="N60">
        <v>76.849999999999994</v>
      </c>
      <c r="O60">
        <v>35125.370000000003</v>
      </c>
      <c r="P60">
        <v>220.49</v>
      </c>
      <c r="Q60">
        <v>988.21</v>
      </c>
      <c r="R60">
        <v>55.87</v>
      </c>
      <c r="S60">
        <v>35.43</v>
      </c>
      <c r="T60">
        <v>9097.92</v>
      </c>
      <c r="U60">
        <v>0.63</v>
      </c>
      <c r="V60">
        <v>0.85</v>
      </c>
      <c r="W60">
        <v>3.02</v>
      </c>
      <c r="X60">
        <v>0.59</v>
      </c>
      <c r="Y60">
        <v>1</v>
      </c>
      <c r="Z60">
        <v>10</v>
      </c>
    </row>
    <row r="61" spans="1:26" x14ac:dyDescent="0.3">
      <c r="A61">
        <v>19</v>
      </c>
      <c r="B61">
        <v>140</v>
      </c>
      <c r="C61" t="s">
        <v>26</v>
      </c>
      <c r="D61">
        <v>5.6406999999999998</v>
      </c>
      <c r="E61">
        <v>17.73</v>
      </c>
      <c r="F61">
        <v>13.31</v>
      </c>
      <c r="G61">
        <v>27.54</v>
      </c>
      <c r="H61">
        <v>0.36</v>
      </c>
      <c r="I61">
        <v>29</v>
      </c>
      <c r="J61">
        <v>283.39999999999998</v>
      </c>
      <c r="K61">
        <v>60.56</v>
      </c>
      <c r="L61">
        <v>5.75</v>
      </c>
      <c r="M61">
        <v>27</v>
      </c>
      <c r="N61">
        <v>77.09</v>
      </c>
      <c r="O61">
        <v>35186.68</v>
      </c>
      <c r="P61">
        <v>219.35</v>
      </c>
      <c r="Q61">
        <v>988.09</v>
      </c>
      <c r="R61">
        <v>55.31</v>
      </c>
      <c r="S61">
        <v>35.43</v>
      </c>
      <c r="T61">
        <v>8822.82</v>
      </c>
      <c r="U61">
        <v>0.64</v>
      </c>
      <c r="V61">
        <v>0.86</v>
      </c>
      <c r="W61">
        <v>3</v>
      </c>
      <c r="X61">
        <v>0.56000000000000005</v>
      </c>
      <c r="Y61">
        <v>1</v>
      </c>
      <c r="Z61">
        <v>10</v>
      </c>
    </row>
    <row r="62" spans="1:26" x14ac:dyDescent="0.3">
      <c r="A62">
        <v>20</v>
      </c>
      <c r="B62">
        <v>140</v>
      </c>
      <c r="C62" t="s">
        <v>26</v>
      </c>
      <c r="D62">
        <v>5.6543999999999999</v>
      </c>
      <c r="E62">
        <v>17.690000000000001</v>
      </c>
      <c r="F62">
        <v>13.32</v>
      </c>
      <c r="G62">
        <v>28.55</v>
      </c>
      <c r="H62">
        <v>0.38</v>
      </c>
      <c r="I62">
        <v>28</v>
      </c>
      <c r="J62">
        <v>283.89999999999998</v>
      </c>
      <c r="K62">
        <v>60.56</v>
      </c>
      <c r="L62">
        <v>6</v>
      </c>
      <c r="M62">
        <v>26</v>
      </c>
      <c r="N62">
        <v>77.34</v>
      </c>
      <c r="O62">
        <v>35248.1</v>
      </c>
      <c r="P62">
        <v>218.92</v>
      </c>
      <c r="Q62">
        <v>988.38</v>
      </c>
      <c r="R62">
        <v>55.39</v>
      </c>
      <c r="S62">
        <v>35.43</v>
      </c>
      <c r="T62">
        <v>8865.49</v>
      </c>
      <c r="U62">
        <v>0.64</v>
      </c>
      <c r="V62">
        <v>0.86</v>
      </c>
      <c r="W62">
        <v>3.01</v>
      </c>
      <c r="X62">
        <v>0.56999999999999995</v>
      </c>
      <c r="Y62">
        <v>1</v>
      </c>
      <c r="Z62">
        <v>10</v>
      </c>
    </row>
    <row r="63" spans="1:26" x14ac:dyDescent="0.3">
      <c r="A63">
        <v>21</v>
      </c>
      <c r="B63">
        <v>140</v>
      </c>
      <c r="C63" t="s">
        <v>26</v>
      </c>
      <c r="D63">
        <v>5.7098000000000004</v>
      </c>
      <c r="E63">
        <v>17.510000000000002</v>
      </c>
      <c r="F63">
        <v>13.25</v>
      </c>
      <c r="G63">
        <v>30.59</v>
      </c>
      <c r="H63">
        <v>0.39</v>
      </c>
      <c r="I63">
        <v>26</v>
      </c>
      <c r="J63">
        <v>284.39999999999998</v>
      </c>
      <c r="K63">
        <v>60.56</v>
      </c>
      <c r="L63">
        <v>6.25</v>
      </c>
      <c r="M63">
        <v>24</v>
      </c>
      <c r="N63">
        <v>77.59</v>
      </c>
      <c r="O63">
        <v>35309.61</v>
      </c>
      <c r="P63">
        <v>217</v>
      </c>
      <c r="Q63">
        <v>988.17</v>
      </c>
      <c r="R63">
        <v>53.3</v>
      </c>
      <c r="S63">
        <v>35.43</v>
      </c>
      <c r="T63">
        <v>7831.69</v>
      </c>
      <c r="U63">
        <v>0.66</v>
      </c>
      <c r="V63">
        <v>0.86</v>
      </c>
      <c r="W63">
        <v>3.01</v>
      </c>
      <c r="X63">
        <v>0.5</v>
      </c>
      <c r="Y63">
        <v>1</v>
      </c>
      <c r="Z63">
        <v>10</v>
      </c>
    </row>
    <row r="64" spans="1:26" x14ac:dyDescent="0.3">
      <c r="A64">
        <v>22</v>
      </c>
      <c r="B64">
        <v>140</v>
      </c>
      <c r="C64" t="s">
        <v>26</v>
      </c>
      <c r="D64">
        <v>5.7323000000000004</v>
      </c>
      <c r="E64">
        <v>17.440000000000001</v>
      </c>
      <c r="F64">
        <v>13.24</v>
      </c>
      <c r="G64">
        <v>31.77</v>
      </c>
      <c r="H64">
        <v>0.41</v>
      </c>
      <c r="I64">
        <v>25</v>
      </c>
      <c r="J64">
        <v>284.89</v>
      </c>
      <c r="K64">
        <v>60.56</v>
      </c>
      <c r="L64">
        <v>6.5</v>
      </c>
      <c r="M64">
        <v>23</v>
      </c>
      <c r="N64">
        <v>77.84</v>
      </c>
      <c r="O64">
        <v>35371.22</v>
      </c>
      <c r="P64">
        <v>216.34</v>
      </c>
      <c r="Q64">
        <v>988.28</v>
      </c>
      <c r="R64">
        <v>52.86</v>
      </c>
      <c r="S64">
        <v>35.43</v>
      </c>
      <c r="T64">
        <v>7617.83</v>
      </c>
      <c r="U64">
        <v>0.67</v>
      </c>
      <c r="V64">
        <v>0.86</v>
      </c>
      <c r="W64">
        <v>3</v>
      </c>
      <c r="X64">
        <v>0.48</v>
      </c>
      <c r="Y64">
        <v>1</v>
      </c>
      <c r="Z64">
        <v>10</v>
      </c>
    </row>
    <row r="65" spans="1:26" x14ac:dyDescent="0.3">
      <c r="A65">
        <v>23</v>
      </c>
      <c r="B65">
        <v>140</v>
      </c>
      <c r="C65" t="s">
        <v>26</v>
      </c>
      <c r="D65">
        <v>5.7603</v>
      </c>
      <c r="E65">
        <v>17.36</v>
      </c>
      <c r="F65">
        <v>13.21</v>
      </c>
      <c r="G65">
        <v>33.01</v>
      </c>
      <c r="H65">
        <v>0.42</v>
      </c>
      <c r="I65">
        <v>24</v>
      </c>
      <c r="J65">
        <v>285.39</v>
      </c>
      <c r="K65">
        <v>60.56</v>
      </c>
      <c r="L65">
        <v>6.75</v>
      </c>
      <c r="M65">
        <v>22</v>
      </c>
      <c r="N65">
        <v>78.09</v>
      </c>
      <c r="O65">
        <v>35432.93</v>
      </c>
      <c r="P65">
        <v>215.08</v>
      </c>
      <c r="Q65">
        <v>988.11</v>
      </c>
      <c r="R65">
        <v>51.85</v>
      </c>
      <c r="S65">
        <v>35.43</v>
      </c>
      <c r="T65">
        <v>7115.11</v>
      </c>
      <c r="U65">
        <v>0.68</v>
      </c>
      <c r="V65">
        <v>0.86</v>
      </c>
      <c r="W65">
        <v>3</v>
      </c>
      <c r="X65">
        <v>0.45</v>
      </c>
      <c r="Y65">
        <v>1</v>
      </c>
      <c r="Z65">
        <v>10</v>
      </c>
    </row>
    <row r="66" spans="1:26" x14ac:dyDescent="0.3">
      <c r="A66">
        <v>24</v>
      </c>
      <c r="B66">
        <v>140</v>
      </c>
      <c r="C66" t="s">
        <v>26</v>
      </c>
      <c r="D66">
        <v>5.7777000000000003</v>
      </c>
      <c r="E66">
        <v>17.309999999999999</v>
      </c>
      <c r="F66">
        <v>13.21</v>
      </c>
      <c r="G66">
        <v>34.450000000000003</v>
      </c>
      <c r="H66">
        <v>0.44</v>
      </c>
      <c r="I66">
        <v>23</v>
      </c>
      <c r="J66">
        <v>285.89999999999998</v>
      </c>
      <c r="K66">
        <v>60.56</v>
      </c>
      <c r="L66">
        <v>7</v>
      </c>
      <c r="M66">
        <v>21</v>
      </c>
      <c r="N66">
        <v>78.34</v>
      </c>
      <c r="O66">
        <v>35494.74</v>
      </c>
      <c r="P66">
        <v>214.5</v>
      </c>
      <c r="Q66">
        <v>988.12</v>
      </c>
      <c r="R66">
        <v>51.61</v>
      </c>
      <c r="S66">
        <v>35.43</v>
      </c>
      <c r="T66">
        <v>7000.67</v>
      </c>
      <c r="U66">
        <v>0.69</v>
      </c>
      <c r="V66">
        <v>0.86</v>
      </c>
      <c r="W66">
        <v>3.01</v>
      </c>
      <c r="X66">
        <v>0.45</v>
      </c>
      <c r="Y66">
        <v>1</v>
      </c>
      <c r="Z66">
        <v>10</v>
      </c>
    </row>
    <row r="67" spans="1:26" x14ac:dyDescent="0.3">
      <c r="A67">
        <v>25</v>
      </c>
      <c r="B67">
        <v>140</v>
      </c>
      <c r="C67" t="s">
        <v>26</v>
      </c>
      <c r="D67">
        <v>5.7794999999999996</v>
      </c>
      <c r="E67">
        <v>17.3</v>
      </c>
      <c r="F67">
        <v>13.2</v>
      </c>
      <c r="G67">
        <v>34.44</v>
      </c>
      <c r="H67">
        <v>0.45</v>
      </c>
      <c r="I67">
        <v>23</v>
      </c>
      <c r="J67">
        <v>286.39999999999998</v>
      </c>
      <c r="K67">
        <v>60.56</v>
      </c>
      <c r="L67">
        <v>7.25</v>
      </c>
      <c r="M67">
        <v>21</v>
      </c>
      <c r="N67">
        <v>78.59</v>
      </c>
      <c r="O67">
        <v>35556.78</v>
      </c>
      <c r="P67">
        <v>213.77</v>
      </c>
      <c r="Q67">
        <v>988.08</v>
      </c>
      <c r="R67">
        <v>51.64</v>
      </c>
      <c r="S67">
        <v>35.43</v>
      </c>
      <c r="T67">
        <v>7014.9</v>
      </c>
      <c r="U67">
        <v>0.69</v>
      </c>
      <c r="V67">
        <v>0.86</v>
      </c>
      <c r="W67">
        <v>3</v>
      </c>
      <c r="X67">
        <v>0.45</v>
      </c>
      <c r="Y67">
        <v>1</v>
      </c>
      <c r="Z67">
        <v>10</v>
      </c>
    </row>
    <row r="68" spans="1:26" x14ac:dyDescent="0.3">
      <c r="A68">
        <v>26</v>
      </c>
      <c r="B68">
        <v>140</v>
      </c>
      <c r="C68" t="s">
        <v>26</v>
      </c>
      <c r="D68">
        <v>5.8075999999999999</v>
      </c>
      <c r="E68">
        <v>17.22</v>
      </c>
      <c r="F68">
        <v>13.17</v>
      </c>
      <c r="G68">
        <v>35.92</v>
      </c>
      <c r="H68">
        <v>0.47</v>
      </c>
      <c r="I68">
        <v>22</v>
      </c>
      <c r="J68">
        <v>286.89999999999998</v>
      </c>
      <c r="K68">
        <v>60.56</v>
      </c>
      <c r="L68">
        <v>7.5</v>
      </c>
      <c r="M68">
        <v>20</v>
      </c>
      <c r="N68">
        <v>78.849999999999994</v>
      </c>
      <c r="O68">
        <v>35618.800000000003</v>
      </c>
      <c r="P68">
        <v>212.81</v>
      </c>
      <c r="Q68">
        <v>988.32</v>
      </c>
      <c r="R68">
        <v>50.84</v>
      </c>
      <c r="S68">
        <v>35.43</v>
      </c>
      <c r="T68">
        <v>6621.45</v>
      </c>
      <c r="U68">
        <v>0.7</v>
      </c>
      <c r="V68">
        <v>0.87</v>
      </c>
      <c r="W68">
        <v>3</v>
      </c>
      <c r="X68">
        <v>0.41</v>
      </c>
      <c r="Y68">
        <v>1</v>
      </c>
      <c r="Z68">
        <v>10</v>
      </c>
    </row>
    <row r="69" spans="1:26" x14ac:dyDescent="0.3">
      <c r="A69">
        <v>27</v>
      </c>
      <c r="B69">
        <v>140</v>
      </c>
      <c r="C69" t="s">
        <v>26</v>
      </c>
      <c r="D69">
        <v>5.8273000000000001</v>
      </c>
      <c r="E69">
        <v>17.16</v>
      </c>
      <c r="F69">
        <v>13.16</v>
      </c>
      <c r="G69">
        <v>37.61</v>
      </c>
      <c r="H69">
        <v>0.48</v>
      </c>
      <c r="I69">
        <v>21</v>
      </c>
      <c r="J69">
        <v>287.41000000000003</v>
      </c>
      <c r="K69">
        <v>60.56</v>
      </c>
      <c r="L69">
        <v>7.75</v>
      </c>
      <c r="M69">
        <v>19</v>
      </c>
      <c r="N69">
        <v>79.099999999999994</v>
      </c>
      <c r="O69">
        <v>35680.92</v>
      </c>
      <c r="P69">
        <v>211.94</v>
      </c>
      <c r="Q69">
        <v>988.08</v>
      </c>
      <c r="R69">
        <v>50.59</v>
      </c>
      <c r="S69">
        <v>35.43</v>
      </c>
      <c r="T69">
        <v>6499.28</v>
      </c>
      <c r="U69">
        <v>0.7</v>
      </c>
      <c r="V69">
        <v>0.87</v>
      </c>
      <c r="W69">
        <v>3</v>
      </c>
      <c r="X69">
        <v>0.41</v>
      </c>
      <c r="Y69">
        <v>1</v>
      </c>
      <c r="Z69">
        <v>10</v>
      </c>
    </row>
    <row r="70" spans="1:26" x14ac:dyDescent="0.3">
      <c r="A70">
        <v>28</v>
      </c>
      <c r="B70">
        <v>140</v>
      </c>
      <c r="C70" t="s">
        <v>26</v>
      </c>
      <c r="D70">
        <v>5.8541999999999996</v>
      </c>
      <c r="E70">
        <v>17.079999999999998</v>
      </c>
      <c r="F70">
        <v>13.14</v>
      </c>
      <c r="G70">
        <v>39.409999999999997</v>
      </c>
      <c r="H70">
        <v>0.49</v>
      </c>
      <c r="I70">
        <v>20</v>
      </c>
      <c r="J70">
        <v>287.91000000000003</v>
      </c>
      <c r="K70">
        <v>60.56</v>
      </c>
      <c r="L70">
        <v>8</v>
      </c>
      <c r="M70">
        <v>18</v>
      </c>
      <c r="N70">
        <v>79.36</v>
      </c>
      <c r="O70">
        <v>35743.15</v>
      </c>
      <c r="P70">
        <v>211.17</v>
      </c>
      <c r="Q70">
        <v>988.1</v>
      </c>
      <c r="R70">
        <v>49.4</v>
      </c>
      <c r="S70">
        <v>35.43</v>
      </c>
      <c r="T70">
        <v>5909.97</v>
      </c>
      <c r="U70">
        <v>0.72</v>
      </c>
      <c r="V70">
        <v>0.87</v>
      </c>
      <c r="W70">
        <v>3</v>
      </c>
      <c r="X70">
        <v>0.38</v>
      </c>
      <c r="Y70">
        <v>1</v>
      </c>
      <c r="Z70">
        <v>10</v>
      </c>
    </row>
    <row r="71" spans="1:26" x14ac:dyDescent="0.3">
      <c r="A71">
        <v>29</v>
      </c>
      <c r="B71">
        <v>140</v>
      </c>
      <c r="C71" t="s">
        <v>26</v>
      </c>
      <c r="D71">
        <v>5.859</v>
      </c>
      <c r="E71">
        <v>17.07</v>
      </c>
      <c r="F71">
        <v>13.12</v>
      </c>
      <c r="G71">
        <v>39.369999999999997</v>
      </c>
      <c r="H71">
        <v>0.51</v>
      </c>
      <c r="I71">
        <v>20</v>
      </c>
      <c r="J71">
        <v>288.42</v>
      </c>
      <c r="K71">
        <v>60.56</v>
      </c>
      <c r="L71">
        <v>8.25</v>
      </c>
      <c r="M71">
        <v>18</v>
      </c>
      <c r="N71">
        <v>79.61</v>
      </c>
      <c r="O71">
        <v>35805.480000000003</v>
      </c>
      <c r="P71">
        <v>210.23</v>
      </c>
      <c r="Q71">
        <v>988.09</v>
      </c>
      <c r="R71">
        <v>49.03</v>
      </c>
      <c r="S71">
        <v>35.43</v>
      </c>
      <c r="T71">
        <v>5727.81</v>
      </c>
      <c r="U71">
        <v>0.72</v>
      </c>
      <c r="V71">
        <v>0.87</v>
      </c>
      <c r="W71">
        <v>3</v>
      </c>
      <c r="X71">
        <v>0.37</v>
      </c>
      <c r="Y71">
        <v>1</v>
      </c>
      <c r="Z71">
        <v>10</v>
      </c>
    </row>
    <row r="72" spans="1:26" x14ac:dyDescent="0.3">
      <c r="A72">
        <v>30</v>
      </c>
      <c r="B72">
        <v>140</v>
      </c>
      <c r="C72" t="s">
        <v>26</v>
      </c>
      <c r="D72">
        <v>5.8803999999999998</v>
      </c>
      <c r="E72">
        <v>17.010000000000002</v>
      </c>
      <c r="F72">
        <v>13.11</v>
      </c>
      <c r="G72">
        <v>41.41</v>
      </c>
      <c r="H72">
        <v>0.52</v>
      </c>
      <c r="I72">
        <v>19</v>
      </c>
      <c r="J72">
        <v>288.92</v>
      </c>
      <c r="K72">
        <v>60.56</v>
      </c>
      <c r="L72">
        <v>8.5</v>
      </c>
      <c r="M72">
        <v>17</v>
      </c>
      <c r="N72">
        <v>79.87</v>
      </c>
      <c r="O72">
        <v>35867.910000000003</v>
      </c>
      <c r="P72">
        <v>209.45</v>
      </c>
      <c r="Q72">
        <v>988.23</v>
      </c>
      <c r="R72">
        <v>48.74</v>
      </c>
      <c r="S72">
        <v>35.43</v>
      </c>
      <c r="T72">
        <v>5588.15</v>
      </c>
      <c r="U72">
        <v>0.73</v>
      </c>
      <c r="V72">
        <v>0.87</v>
      </c>
      <c r="W72">
        <v>3</v>
      </c>
      <c r="X72">
        <v>0.36</v>
      </c>
      <c r="Y72">
        <v>1</v>
      </c>
      <c r="Z72">
        <v>10</v>
      </c>
    </row>
    <row r="73" spans="1:26" x14ac:dyDescent="0.3">
      <c r="A73">
        <v>31</v>
      </c>
      <c r="B73">
        <v>140</v>
      </c>
      <c r="C73" t="s">
        <v>26</v>
      </c>
      <c r="D73">
        <v>5.8785999999999996</v>
      </c>
      <c r="E73">
        <v>17.010000000000002</v>
      </c>
      <c r="F73">
        <v>13.12</v>
      </c>
      <c r="G73">
        <v>41.42</v>
      </c>
      <c r="H73">
        <v>0.54</v>
      </c>
      <c r="I73">
        <v>19</v>
      </c>
      <c r="J73">
        <v>289.43</v>
      </c>
      <c r="K73">
        <v>60.56</v>
      </c>
      <c r="L73">
        <v>8.75</v>
      </c>
      <c r="M73">
        <v>17</v>
      </c>
      <c r="N73">
        <v>80.12</v>
      </c>
      <c r="O73">
        <v>35930.44</v>
      </c>
      <c r="P73">
        <v>208.45</v>
      </c>
      <c r="Q73">
        <v>988.14</v>
      </c>
      <c r="R73">
        <v>49.02</v>
      </c>
      <c r="S73">
        <v>35.43</v>
      </c>
      <c r="T73">
        <v>5724.27</v>
      </c>
      <c r="U73">
        <v>0.72</v>
      </c>
      <c r="V73">
        <v>0.87</v>
      </c>
      <c r="W73">
        <v>3</v>
      </c>
      <c r="X73">
        <v>0.36</v>
      </c>
      <c r="Y73">
        <v>1</v>
      </c>
      <c r="Z73">
        <v>10</v>
      </c>
    </row>
    <row r="74" spans="1:26" x14ac:dyDescent="0.3">
      <c r="A74">
        <v>32</v>
      </c>
      <c r="B74">
        <v>140</v>
      </c>
      <c r="C74" t="s">
        <v>26</v>
      </c>
      <c r="D74">
        <v>5.9046000000000003</v>
      </c>
      <c r="E74">
        <v>16.940000000000001</v>
      </c>
      <c r="F74">
        <v>13.09</v>
      </c>
      <c r="G74">
        <v>43.65</v>
      </c>
      <c r="H74">
        <v>0.55000000000000004</v>
      </c>
      <c r="I74">
        <v>18</v>
      </c>
      <c r="J74">
        <v>289.94</v>
      </c>
      <c r="K74">
        <v>60.56</v>
      </c>
      <c r="L74">
        <v>9</v>
      </c>
      <c r="M74">
        <v>16</v>
      </c>
      <c r="N74">
        <v>80.38</v>
      </c>
      <c r="O74">
        <v>35993.08</v>
      </c>
      <c r="P74">
        <v>208.12</v>
      </c>
      <c r="Q74">
        <v>988.11</v>
      </c>
      <c r="R74">
        <v>48.21</v>
      </c>
      <c r="S74">
        <v>35.43</v>
      </c>
      <c r="T74">
        <v>5325.67</v>
      </c>
      <c r="U74">
        <v>0.74</v>
      </c>
      <c r="V74">
        <v>0.87</v>
      </c>
      <c r="W74">
        <v>3</v>
      </c>
      <c r="X74">
        <v>0.34</v>
      </c>
      <c r="Y74">
        <v>1</v>
      </c>
      <c r="Z74">
        <v>10</v>
      </c>
    </row>
    <row r="75" spans="1:26" x14ac:dyDescent="0.3">
      <c r="A75">
        <v>33</v>
      </c>
      <c r="B75">
        <v>140</v>
      </c>
      <c r="C75" t="s">
        <v>26</v>
      </c>
      <c r="D75">
        <v>5.9284999999999997</v>
      </c>
      <c r="E75">
        <v>16.87</v>
      </c>
      <c r="F75">
        <v>13.08</v>
      </c>
      <c r="G75">
        <v>46.16</v>
      </c>
      <c r="H75">
        <v>0.56999999999999995</v>
      </c>
      <c r="I75">
        <v>17</v>
      </c>
      <c r="J75">
        <v>290.45</v>
      </c>
      <c r="K75">
        <v>60.56</v>
      </c>
      <c r="L75">
        <v>9.25</v>
      </c>
      <c r="M75">
        <v>15</v>
      </c>
      <c r="N75">
        <v>80.64</v>
      </c>
      <c r="O75">
        <v>36055.83</v>
      </c>
      <c r="P75">
        <v>205.77</v>
      </c>
      <c r="Q75">
        <v>988.15</v>
      </c>
      <c r="R75">
        <v>47.7</v>
      </c>
      <c r="S75">
        <v>35.43</v>
      </c>
      <c r="T75">
        <v>5074.6400000000003</v>
      </c>
      <c r="U75">
        <v>0.74</v>
      </c>
      <c r="V75">
        <v>0.87</v>
      </c>
      <c r="W75">
        <v>3</v>
      </c>
      <c r="X75">
        <v>0.32</v>
      </c>
      <c r="Y75">
        <v>1</v>
      </c>
      <c r="Z75">
        <v>10</v>
      </c>
    </row>
    <row r="76" spans="1:26" x14ac:dyDescent="0.3">
      <c r="A76">
        <v>34</v>
      </c>
      <c r="B76">
        <v>140</v>
      </c>
      <c r="C76" t="s">
        <v>26</v>
      </c>
      <c r="D76">
        <v>5.9290000000000003</v>
      </c>
      <c r="E76">
        <v>16.87</v>
      </c>
      <c r="F76">
        <v>13.08</v>
      </c>
      <c r="G76">
        <v>46.15</v>
      </c>
      <c r="H76">
        <v>0.57999999999999996</v>
      </c>
      <c r="I76">
        <v>17</v>
      </c>
      <c r="J76">
        <v>290.95999999999998</v>
      </c>
      <c r="K76">
        <v>60.56</v>
      </c>
      <c r="L76">
        <v>9.5</v>
      </c>
      <c r="M76">
        <v>15</v>
      </c>
      <c r="N76">
        <v>80.900000000000006</v>
      </c>
      <c r="O76">
        <v>36118.68</v>
      </c>
      <c r="P76">
        <v>205.66</v>
      </c>
      <c r="Q76">
        <v>988.09</v>
      </c>
      <c r="R76">
        <v>47.66</v>
      </c>
      <c r="S76">
        <v>35.43</v>
      </c>
      <c r="T76">
        <v>5056.33</v>
      </c>
      <c r="U76">
        <v>0.74</v>
      </c>
      <c r="V76">
        <v>0.87</v>
      </c>
      <c r="W76">
        <v>3</v>
      </c>
      <c r="X76">
        <v>0.32</v>
      </c>
      <c r="Y76">
        <v>1</v>
      </c>
      <c r="Z76">
        <v>10</v>
      </c>
    </row>
    <row r="77" spans="1:26" x14ac:dyDescent="0.3">
      <c r="A77">
        <v>35</v>
      </c>
      <c r="B77">
        <v>140</v>
      </c>
      <c r="C77" t="s">
        <v>26</v>
      </c>
      <c r="D77">
        <v>5.9291999999999998</v>
      </c>
      <c r="E77">
        <v>16.87</v>
      </c>
      <c r="F77">
        <v>13.08</v>
      </c>
      <c r="G77">
        <v>46.15</v>
      </c>
      <c r="H77">
        <v>0.6</v>
      </c>
      <c r="I77">
        <v>17</v>
      </c>
      <c r="J77">
        <v>291.47000000000003</v>
      </c>
      <c r="K77">
        <v>60.56</v>
      </c>
      <c r="L77">
        <v>9.75</v>
      </c>
      <c r="M77">
        <v>15</v>
      </c>
      <c r="N77">
        <v>81.16</v>
      </c>
      <c r="O77">
        <v>36181.64</v>
      </c>
      <c r="P77">
        <v>204.94</v>
      </c>
      <c r="Q77">
        <v>988.11</v>
      </c>
      <c r="R77">
        <v>47.64</v>
      </c>
      <c r="S77">
        <v>35.43</v>
      </c>
      <c r="T77">
        <v>5047.6099999999997</v>
      </c>
      <c r="U77">
        <v>0.74</v>
      </c>
      <c r="V77">
        <v>0.87</v>
      </c>
      <c r="W77">
        <v>3</v>
      </c>
      <c r="X77">
        <v>0.32</v>
      </c>
      <c r="Y77">
        <v>1</v>
      </c>
      <c r="Z77">
        <v>10</v>
      </c>
    </row>
    <row r="78" spans="1:26" x14ac:dyDescent="0.3">
      <c r="A78">
        <v>36</v>
      </c>
      <c r="B78">
        <v>140</v>
      </c>
      <c r="C78" t="s">
        <v>26</v>
      </c>
      <c r="D78">
        <v>5.9554999999999998</v>
      </c>
      <c r="E78">
        <v>16.79</v>
      </c>
      <c r="F78">
        <v>13.05</v>
      </c>
      <c r="G78">
        <v>48.95</v>
      </c>
      <c r="H78">
        <v>0.61</v>
      </c>
      <c r="I78">
        <v>16</v>
      </c>
      <c r="J78">
        <v>291.98</v>
      </c>
      <c r="K78">
        <v>60.56</v>
      </c>
      <c r="L78">
        <v>10</v>
      </c>
      <c r="M78">
        <v>14</v>
      </c>
      <c r="N78">
        <v>81.42</v>
      </c>
      <c r="O78">
        <v>36244.71</v>
      </c>
      <c r="P78">
        <v>204.65</v>
      </c>
      <c r="Q78">
        <v>988.12</v>
      </c>
      <c r="R78">
        <v>47.1</v>
      </c>
      <c r="S78">
        <v>35.43</v>
      </c>
      <c r="T78">
        <v>4782.05</v>
      </c>
      <c r="U78">
        <v>0.75</v>
      </c>
      <c r="V78">
        <v>0.87</v>
      </c>
      <c r="W78">
        <v>2.99</v>
      </c>
      <c r="X78">
        <v>0.3</v>
      </c>
      <c r="Y78">
        <v>1</v>
      </c>
      <c r="Z78">
        <v>10</v>
      </c>
    </row>
    <row r="79" spans="1:26" x14ac:dyDescent="0.3">
      <c r="A79">
        <v>37</v>
      </c>
      <c r="B79">
        <v>140</v>
      </c>
      <c r="C79" t="s">
        <v>26</v>
      </c>
      <c r="D79">
        <v>5.9497999999999998</v>
      </c>
      <c r="E79">
        <v>16.809999999999999</v>
      </c>
      <c r="F79">
        <v>13.07</v>
      </c>
      <c r="G79">
        <v>49.01</v>
      </c>
      <c r="H79">
        <v>0.62</v>
      </c>
      <c r="I79">
        <v>16</v>
      </c>
      <c r="J79">
        <v>292.49</v>
      </c>
      <c r="K79">
        <v>60.56</v>
      </c>
      <c r="L79">
        <v>10.25</v>
      </c>
      <c r="M79">
        <v>14</v>
      </c>
      <c r="N79">
        <v>81.680000000000007</v>
      </c>
      <c r="O79">
        <v>36307.879999999997</v>
      </c>
      <c r="P79">
        <v>203.98</v>
      </c>
      <c r="Q79">
        <v>988.24</v>
      </c>
      <c r="R79">
        <v>47.45</v>
      </c>
      <c r="S79">
        <v>35.43</v>
      </c>
      <c r="T79">
        <v>4957.43</v>
      </c>
      <c r="U79">
        <v>0.75</v>
      </c>
      <c r="V79">
        <v>0.87</v>
      </c>
      <c r="W79">
        <v>3</v>
      </c>
      <c r="X79">
        <v>0.32</v>
      </c>
      <c r="Y79">
        <v>1</v>
      </c>
      <c r="Z79">
        <v>10</v>
      </c>
    </row>
    <row r="80" spans="1:26" x14ac:dyDescent="0.3">
      <c r="A80">
        <v>38</v>
      </c>
      <c r="B80">
        <v>140</v>
      </c>
      <c r="C80" t="s">
        <v>26</v>
      </c>
      <c r="D80">
        <v>5.9798999999999998</v>
      </c>
      <c r="E80">
        <v>16.72</v>
      </c>
      <c r="F80">
        <v>13.04</v>
      </c>
      <c r="G80">
        <v>52.15</v>
      </c>
      <c r="H80">
        <v>0.64</v>
      </c>
      <c r="I80">
        <v>15</v>
      </c>
      <c r="J80">
        <v>293</v>
      </c>
      <c r="K80">
        <v>60.56</v>
      </c>
      <c r="L80">
        <v>10.5</v>
      </c>
      <c r="M80">
        <v>13</v>
      </c>
      <c r="N80">
        <v>81.95</v>
      </c>
      <c r="O80">
        <v>36371.17</v>
      </c>
      <c r="P80">
        <v>202.95</v>
      </c>
      <c r="Q80">
        <v>988.09</v>
      </c>
      <c r="R80">
        <v>46.8</v>
      </c>
      <c r="S80">
        <v>35.43</v>
      </c>
      <c r="T80">
        <v>4638.49</v>
      </c>
      <c r="U80">
        <v>0.76</v>
      </c>
      <c r="V80">
        <v>0.87</v>
      </c>
      <c r="W80">
        <v>2.98</v>
      </c>
      <c r="X80">
        <v>0.28000000000000003</v>
      </c>
      <c r="Y80">
        <v>1</v>
      </c>
      <c r="Z80">
        <v>10</v>
      </c>
    </row>
    <row r="81" spans="1:26" x14ac:dyDescent="0.3">
      <c r="A81">
        <v>39</v>
      </c>
      <c r="B81">
        <v>140</v>
      </c>
      <c r="C81" t="s">
        <v>26</v>
      </c>
      <c r="D81">
        <v>5.9806999999999997</v>
      </c>
      <c r="E81">
        <v>16.72</v>
      </c>
      <c r="F81">
        <v>13.04</v>
      </c>
      <c r="G81">
        <v>52.14</v>
      </c>
      <c r="H81">
        <v>0.65</v>
      </c>
      <c r="I81">
        <v>15</v>
      </c>
      <c r="J81">
        <v>293.52</v>
      </c>
      <c r="K81">
        <v>60.56</v>
      </c>
      <c r="L81">
        <v>10.75</v>
      </c>
      <c r="M81">
        <v>13</v>
      </c>
      <c r="N81">
        <v>82.21</v>
      </c>
      <c r="O81">
        <v>36434.559999999998</v>
      </c>
      <c r="P81">
        <v>202.37</v>
      </c>
      <c r="Q81">
        <v>988.11</v>
      </c>
      <c r="R81">
        <v>46.53</v>
      </c>
      <c r="S81">
        <v>35.43</v>
      </c>
      <c r="T81">
        <v>4499.8100000000004</v>
      </c>
      <c r="U81">
        <v>0.76</v>
      </c>
      <c r="V81">
        <v>0.87</v>
      </c>
      <c r="W81">
        <v>2.99</v>
      </c>
      <c r="X81">
        <v>0.28000000000000003</v>
      </c>
      <c r="Y81">
        <v>1</v>
      </c>
      <c r="Z81">
        <v>10</v>
      </c>
    </row>
    <row r="82" spans="1:26" x14ac:dyDescent="0.3">
      <c r="A82">
        <v>40</v>
      </c>
      <c r="B82">
        <v>140</v>
      </c>
      <c r="C82" t="s">
        <v>26</v>
      </c>
      <c r="D82">
        <v>5.9785000000000004</v>
      </c>
      <c r="E82">
        <v>16.73</v>
      </c>
      <c r="F82">
        <v>13.04</v>
      </c>
      <c r="G82">
        <v>52.17</v>
      </c>
      <c r="H82">
        <v>0.67</v>
      </c>
      <c r="I82">
        <v>15</v>
      </c>
      <c r="J82">
        <v>294.02999999999997</v>
      </c>
      <c r="K82">
        <v>60.56</v>
      </c>
      <c r="L82">
        <v>11</v>
      </c>
      <c r="M82">
        <v>13</v>
      </c>
      <c r="N82">
        <v>82.48</v>
      </c>
      <c r="O82">
        <v>36498.06</v>
      </c>
      <c r="P82">
        <v>201.32</v>
      </c>
      <c r="Q82">
        <v>988.17</v>
      </c>
      <c r="R82">
        <v>46.77</v>
      </c>
      <c r="S82">
        <v>35.43</v>
      </c>
      <c r="T82">
        <v>4619.54</v>
      </c>
      <c r="U82">
        <v>0.76</v>
      </c>
      <c r="V82">
        <v>0.87</v>
      </c>
      <c r="W82">
        <v>2.99</v>
      </c>
      <c r="X82">
        <v>0.28999999999999998</v>
      </c>
      <c r="Y82">
        <v>1</v>
      </c>
      <c r="Z82">
        <v>10</v>
      </c>
    </row>
    <row r="83" spans="1:26" x14ac:dyDescent="0.3">
      <c r="A83">
        <v>41</v>
      </c>
      <c r="B83">
        <v>140</v>
      </c>
      <c r="C83" t="s">
        <v>26</v>
      </c>
      <c r="D83">
        <v>6.0091999999999999</v>
      </c>
      <c r="E83">
        <v>16.64</v>
      </c>
      <c r="F83">
        <v>13.01</v>
      </c>
      <c r="G83">
        <v>55.75</v>
      </c>
      <c r="H83">
        <v>0.68</v>
      </c>
      <c r="I83">
        <v>14</v>
      </c>
      <c r="J83">
        <v>294.55</v>
      </c>
      <c r="K83">
        <v>60.56</v>
      </c>
      <c r="L83">
        <v>11.25</v>
      </c>
      <c r="M83">
        <v>12</v>
      </c>
      <c r="N83">
        <v>82.74</v>
      </c>
      <c r="O83">
        <v>36561.67</v>
      </c>
      <c r="P83">
        <v>200.58</v>
      </c>
      <c r="Q83">
        <v>988.13</v>
      </c>
      <c r="R83">
        <v>45.57</v>
      </c>
      <c r="S83">
        <v>35.43</v>
      </c>
      <c r="T83">
        <v>4027.15</v>
      </c>
      <c r="U83">
        <v>0.78</v>
      </c>
      <c r="V83">
        <v>0.88</v>
      </c>
      <c r="W83">
        <v>2.99</v>
      </c>
      <c r="X83">
        <v>0.25</v>
      </c>
      <c r="Y83">
        <v>1</v>
      </c>
      <c r="Z83">
        <v>10</v>
      </c>
    </row>
    <row r="84" spans="1:26" x14ac:dyDescent="0.3">
      <c r="A84">
        <v>42</v>
      </c>
      <c r="B84">
        <v>140</v>
      </c>
      <c r="C84" t="s">
        <v>26</v>
      </c>
      <c r="D84">
        <v>6.0092999999999996</v>
      </c>
      <c r="E84">
        <v>16.64</v>
      </c>
      <c r="F84">
        <v>13.01</v>
      </c>
      <c r="G84">
        <v>55.75</v>
      </c>
      <c r="H84">
        <v>0.69</v>
      </c>
      <c r="I84">
        <v>14</v>
      </c>
      <c r="J84">
        <v>295.06</v>
      </c>
      <c r="K84">
        <v>60.56</v>
      </c>
      <c r="L84">
        <v>11.5</v>
      </c>
      <c r="M84">
        <v>12</v>
      </c>
      <c r="N84">
        <v>83.01</v>
      </c>
      <c r="O84">
        <v>36625.39</v>
      </c>
      <c r="P84">
        <v>200.21</v>
      </c>
      <c r="Q84">
        <v>988.13</v>
      </c>
      <c r="R84">
        <v>45.67</v>
      </c>
      <c r="S84">
        <v>35.43</v>
      </c>
      <c r="T84">
        <v>4075.16</v>
      </c>
      <c r="U84">
        <v>0.78</v>
      </c>
      <c r="V84">
        <v>0.88</v>
      </c>
      <c r="W84">
        <v>2.99</v>
      </c>
      <c r="X84">
        <v>0.25</v>
      </c>
      <c r="Y84">
        <v>1</v>
      </c>
      <c r="Z84">
        <v>10</v>
      </c>
    </row>
    <row r="85" spans="1:26" x14ac:dyDescent="0.3">
      <c r="A85">
        <v>43</v>
      </c>
      <c r="B85">
        <v>140</v>
      </c>
      <c r="C85" t="s">
        <v>26</v>
      </c>
      <c r="D85">
        <v>6.0121000000000002</v>
      </c>
      <c r="E85">
        <v>16.63</v>
      </c>
      <c r="F85">
        <v>13</v>
      </c>
      <c r="G85">
        <v>55.72</v>
      </c>
      <c r="H85">
        <v>0.71</v>
      </c>
      <c r="I85">
        <v>14</v>
      </c>
      <c r="J85">
        <v>295.58</v>
      </c>
      <c r="K85">
        <v>60.56</v>
      </c>
      <c r="L85">
        <v>11.75</v>
      </c>
      <c r="M85">
        <v>12</v>
      </c>
      <c r="N85">
        <v>83.28</v>
      </c>
      <c r="O85">
        <v>36689.22</v>
      </c>
      <c r="P85">
        <v>198.58</v>
      </c>
      <c r="Q85">
        <v>988.09</v>
      </c>
      <c r="R85">
        <v>45.43</v>
      </c>
      <c r="S85">
        <v>35.43</v>
      </c>
      <c r="T85">
        <v>3953.83</v>
      </c>
      <c r="U85">
        <v>0.78</v>
      </c>
      <c r="V85">
        <v>0.88</v>
      </c>
      <c r="W85">
        <v>2.98</v>
      </c>
      <c r="X85">
        <v>0.25</v>
      </c>
      <c r="Y85">
        <v>1</v>
      </c>
      <c r="Z85">
        <v>10</v>
      </c>
    </row>
    <row r="86" spans="1:26" x14ac:dyDescent="0.3">
      <c r="A86">
        <v>44</v>
      </c>
      <c r="B86">
        <v>140</v>
      </c>
      <c r="C86" t="s">
        <v>26</v>
      </c>
      <c r="D86">
        <v>6.0327999999999999</v>
      </c>
      <c r="E86">
        <v>16.579999999999998</v>
      </c>
      <c r="F86">
        <v>13</v>
      </c>
      <c r="G86">
        <v>59.98</v>
      </c>
      <c r="H86">
        <v>0.72</v>
      </c>
      <c r="I86">
        <v>13</v>
      </c>
      <c r="J86">
        <v>296.10000000000002</v>
      </c>
      <c r="K86">
        <v>60.56</v>
      </c>
      <c r="L86">
        <v>12</v>
      </c>
      <c r="M86">
        <v>11</v>
      </c>
      <c r="N86">
        <v>83.54</v>
      </c>
      <c r="O86">
        <v>36753.160000000003</v>
      </c>
      <c r="P86">
        <v>198.27</v>
      </c>
      <c r="Q86">
        <v>988.09</v>
      </c>
      <c r="R86">
        <v>45.33</v>
      </c>
      <c r="S86">
        <v>35.43</v>
      </c>
      <c r="T86">
        <v>3909.85</v>
      </c>
      <c r="U86">
        <v>0.78</v>
      </c>
      <c r="V86">
        <v>0.88</v>
      </c>
      <c r="W86">
        <v>2.98</v>
      </c>
      <c r="X86">
        <v>0.24</v>
      </c>
      <c r="Y86">
        <v>1</v>
      </c>
      <c r="Z86">
        <v>10</v>
      </c>
    </row>
    <row r="87" spans="1:26" x14ac:dyDescent="0.3">
      <c r="A87">
        <v>45</v>
      </c>
      <c r="B87">
        <v>140</v>
      </c>
      <c r="C87" t="s">
        <v>26</v>
      </c>
      <c r="D87">
        <v>6.0327000000000002</v>
      </c>
      <c r="E87">
        <v>16.579999999999998</v>
      </c>
      <c r="F87">
        <v>13</v>
      </c>
      <c r="G87">
        <v>59.98</v>
      </c>
      <c r="H87">
        <v>0.74</v>
      </c>
      <c r="I87">
        <v>13</v>
      </c>
      <c r="J87">
        <v>296.62</v>
      </c>
      <c r="K87">
        <v>60.56</v>
      </c>
      <c r="L87">
        <v>12.25</v>
      </c>
      <c r="M87">
        <v>11</v>
      </c>
      <c r="N87">
        <v>83.81</v>
      </c>
      <c r="O87">
        <v>36817.22</v>
      </c>
      <c r="P87">
        <v>197.49</v>
      </c>
      <c r="Q87">
        <v>988.11</v>
      </c>
      <c r="R87">
        <v>45.29</v>
      </c>
      <c r="S87">
        <v>35.43</v>
      </c>
      <c r="T87">
        <v>3891.35</v>
      </c>
      <c r="U87">
        <v>0.78</v>
      </c>
      <c r="V87">
        <v>0.88</v>
      </c>
      <c r="W87">
        <v>2.99</v>
      </c>
      <c r="X87">
        <v>0.24</v>
      </c>
      <c r="Y87">
        <v>1</v>
      </c>
      <c r="Z87">
        <v>10</v>
      </c>
    </row>
    <row r="88" spans="1:26" x14ac:dyDescent="0.3">
      <c r="A88">
        <v>46</v>
      </c>
      <c r="B88">
        <v>140</v>
      </c>
      <c r="C88" t="s">
        <v>26</v>
      </c>
      <c r="D88">
        <v>6.0350999999999999</v>
      </c>
      <c r="E88">
        <v>16.57</v>
      </c>
      <c r="F88">
        <v>12.99</v>
      </c>
      <c r="G88">
        <v>59.95</v>
      </c>
      <c r="H88">
        <v>0.75</v>
      </c>
      <c r="I88">
        <v>13</v>
      </c>
      <c r="J88">
        <v>297.14</v>
      </c>
      <c r="K88">
        <v>60.56</v>
      </c>
      <c r="L88">
        <v>12.5</v>
      </c>
      <c r="M88">
        <v>11</v>
      </c>
      <c r="N88">
        <v>84.08</v>
      </c>
      <c r="O88">
        <v>36881.39</v>
      </c>
      <c r="P88">
        <v>196.91</v>
      </c>
      <c r="Q88">
        <v>988.09</v>
      </c>
      <c r="R88">
        <v>44.99</v>
      </c>
      <c r="S88">
        <v>35.43</v>
      </c>
      <c r="T88">
        <v>3743.14</v>
      </c>
      <c r="U88">
        <v>0.79</v>
      </c>
      <c r="V88">
        <v>0.88</v>
      </c>
      <c r="W88">
        <v>2.99</v>
      </c>
      <c r="X88">
        <v>0.24</v>
      </c>
      <c r="Y88">
        <v>1</v>
      </c>
      <c r="Z88">
        <v>10</v>
      </c>
    </row>
    <row r="89" spans="1:26" x14ac:dyDescent="0.3">
      <c r="A89">
        <v>47</v>
      </c>
      <c r="B89">
        <v>140</v>
      </c>
      <c r="C89" t="s">
        <v>26</v>
      </c>
      <c r="D89">
        <v>6.0606</v>
      </c>
      <c r="E89">
        <v>16.5</v>
      </c>
      <c r="F89">
        <v>12.97</v>
      </c>
      <c r="G89">
        <v>64.86</v>
      </c>
      <c r="H89">
        <v>0.76</v>
      </c>
      <c r="I89">
        <v>12</v>
      </c>
      <c r="J89">
        <v>297.66000000000003</v>
      </c>
      <c r="K89">
        <v>60.56</v>
      </c>
      <c r="L89">
        <v>12.75</v>
      </c>
      <c r="M89">
        <v>10</v>
      </c>
      <c r="N89">
        <v>84.36</v>
      </c>
      <c r="O89">
        <v>36945.67</v>
      </c>
      <c r="P89">
        <v>195.05</v>
      </c>
      <c r="Q89">
        <v>988.11</v>
      </c>
      <c r="R89">
        <v>44.5</v>
      </c>
      <c r="S89">
        <v>35.43</v>
      </c>
      <c r="T89">
        <v>3503.44</v>
      </c>
      <c r="U89">
        <v>0.8</v>
      </c>
      <c r="V89">
        <v>0.88</v>
      </c>
      <c r="W89">
        <v>2.99</v>
      </c>
      <c r="X89">
        <v>0.22</v>
      </c>
      <c r="Y89">
        <v>1</v>
      </c>
      <c r="Z89">
        <v>10</v>
      </c>
    </row>
    <row r="90" spans="1:26" x14ac:dyDescent="0.3">
      <c r="A90">
        <v>48</v>
      </c>
      <c r="B90">
        <v>140</v>
      </c>
      <c r="C90" t="s">
        <v>26</v>
      </c>
      <c r="D90">
        <v>6.0613999999999999</v>
      </c>
      <c r="E90">
        <v>16.5</v>
      </c>
      <c r="F90">
        <v>12.97</v>
      </c>
      <c r="G90">
        <v>64.849999999999994</v>
      </c>
      <c r="H90">
        <v>0.78</v>
      </c>
      <c r="I90">
        <v>12</v>
      </c>
      <c r="J90">
        <v>298.18</v>
      </c>
      <c r="K90">
        <v>60.56</v>
      </c>
      <c r="L90">
        <v>13</v>
      </c>
      <c r="M90">
        <v>10</v>
      </c>
      <c r="N90">
        <v>84.63</v>
      </c>
      <c r="O90">
        <v>37010.06</v>
      </c>
      <c r="P90">
        <v>194.77</v>
      </c>
      <c r="Q90">
        <v>988.09</v>
      </c>
      <c r="R90">
        <v>44.42</v>
      </c>
      <c r="S90">
        <v>35.43</v>
      </c>
      <c r="T90">
        <v>3463.04</v>
      </c>
      <c r="U90">
        <v>0.8</v>
      </c>
      <c r="V90">
        <v>0.88</v>
      </c>
      <c r="W90">
        <v>2.99</v>
      </c>
      <c r="X90">
        <v>0.22</v>
      </c>
      <c r="Y90">
        <v>1</v>
      </c>
      <c r="Z90">
        <v>10</v>
      </c>
    </row>
    <row r="91" spans="1:26" x14ac:dyDescent="0.3">
      <c r="A91">
        <v>49</v>
      </c>
      <c r="B91">
        <v>140</v>
      </c>
      <c r="C91" t="s">
        <v>26</v>
      </c>
      <c r="D91">
        <v>6.0620000000000003</v>
      </c>
      <c r="E91">
        <v>16.5</v>
      </c>
      <c r="F91">
        <v>12.97</v>
      </c>
      <c r="G91">
        <v>64.84</v>
      </c>
      <c r="H91">
        <v>0.79</v>
      </c>
      <c r="I91">
        <v>12</v>
      </c>
      <c r="J91">
        <v>298.70999999999998</v>
      </c>
      <c r="K91">
        <v>60.56</v>
      </c>
      <c r="L91">
        <v>13.25</v>
      </c>
      <c r="M91">
        <v>10</v>
      </c>
      <c r="N91">
        <v>84.9</v>
      </c>
      <c r="O91">
        <v>37074.57</v>
      </c>
      <c r="P91">
        <v>194.44</v>
      </c>
      <c r="Q91">
        <v>988.12</v>
      </c>
      <c r="R91">
        <v>44.38</v>
      </c>
      <c r="S91">
        <v>35.43</v>
      </c>
      <c r="T91">
        <v>3439.59</v>
      </c>
      <c r="U91">
        <v>0.8</v>
      </c>
      <c r="V91">
        <v>0.88</v>
      </c>
      <c r="W91">
        <v>2.98</v>
      </c>
      <c r="X91">
        <v>0.21</v>
      </c>
      <c r="Y91">
        <v>1</v>
      </c>
      <c r="Z91">
        <v>10</v>
      </c>
    </row>
    <row r="92" spans="1:26" x14ac:dyDescent="0.3">
      <c r="A92">
        <v>50</v>
      </c>
      <c r="B92">
        <v>140</v>
      </c>
      <c r="C92" t="s">
        <v>26</v>
      </c>
      <c r="D92">
        <v>6.0617000000000001</v>
      </c>
      <c r="E92">
        <v>16.5</v>
      </c>
      <c r="F92">
        <v>12.97</v>
      </c>
      <c r="G92">
        <v>64.849999999999994</v>
      </c>
      <c r="H92">
        <v>0.8</v>
      </c>
      <c r="I92">
        <v>12</v>
      </c>
      <c r="J92">
        <v>299.23</v>
      </c>
      <c r="K92">
        <v>60.56</v>
      </c>
      <c r="L92">
        <v>13.5</v>
      </c>
      <c r="M92">
        <v>10</v>
      </c>
      <c r="N92">
        <v>85.18</v>
      </c>
      <c r="O92">
        <v>37139.199999999997</v>
      </c>
      <c r="P92">
        <v>193.31</v>
      </c>
      <c r="Q92">
        <v>988.09</v>
      </c>
      <c r="R92">
        <v>44.51</v>
      </c>
      <c r="S92">
        <v>35.43</v>
      </c>
      <c r="T92">
        <v>3506.4</v>
      </c>
      <c r="U92">
        <v>0.8</v>
      </c>
      <c r="V92">
        <v>0.88</v>
      </c>
      <c r="W92">
        <v>2.98</v>
      </c>
      <c r="X92">
        <v>0.22</v>
      </c>
      <c r="Y92">
        <v>1</v>
      </c>
      <c r="Z92">
        <v>10</v>
      </c>
    </row>
    <row r="93" spans="1:26" x14ac:dyDescent="0.3">
      <c r="A93">
        <v>51</v>
      </c>
      <c r="B93">
        <v>140</v>
      </c>
      <c r="C93" t="s">
        <v>26</v>
      </c>
      <c r="D93">
        <v>6.0873999999999997</v>
      </c>
      <c r="E93">
        <v>16.43</v>
      </c>
      <c r="F93">
        <v>12.95</v>
      </c>
      <c r="G93">
        <v>70.650000000000006</v>
      </c>
      <c r="H93">
        <v>0.82</v>
      </c>
      <c r="I93">
        <v>11</v>
      </c>
      <c r="J93">
        <v>299.76</v>
      </c>
      <c r="K93">
        <v>60.56</v>
      </c>
      <c r="L93">
        <v>13.75</v>
      </c>
      <c r="M93">
        <v>9</v>
      </c>
      <c r="N93">
        <v>85.45</v>
      </c>
      <c r="O93">
        <v>37204.07</v>
      </c>
      <c r="P93">
        <v>192.1</v>
      </c>
      <c r="Q93">
        <v>988.08</v>
      </c>
      <c r="R93">
        <v>43.86</v>
      </c>
      <c r="S93">
        <v>35.43</v>
      </c>
      <c r="T93">
        <v>3185.86</v>
      </c>
      <c r="U93">
        <v>0.81</v>
      </c>
      <c r="V93">
        <v>0.88</v>
      </c>
      <c r="W93">
        <v>2.98</v>
      </c>
      <c r="X93">
        <v>0.2</v>
      </c>
      <c r="Y93">
        <v>1</v>
      </c>
      <c r="Z93">
        <v>10</v>
      </c>
    </row>
    <row r="94" spans="1:26" x14ac:dyDescent="0.3">
      <c r="A94">
        <v>52</v>
      </c>
      <c r="B94">
        <v>140</v>
      </c>
      <c r="C94" t="s">
        <v>26</v>
      </c>
      <c r="D94">
        <v>6.085</v>
      </c>
      <c r="E94">
        <v>16.43</v>
      </c>
      <c r="F94">
        <v>12.96</v>
      </c>
      <c r="G94">
        <v>70.680000000000007</v>
      </c>
      <c r="H94">
        <v>0.83</v>
      </c>
      <c r="I94">
        <v>11</v>
      </c>
      <c r="J94">
        <v>300.27999999999997</v>
      </c>
      <c r="K94">
        <v>60.56</v>
      </c>
      <c r="L94">
        <v>14</v>
      </c>
      <c r="M94">
        <v>9</v>
      </c>
      <c r="N94">
        <v>85.73</v>
      </c>
      <c r="O94">
        <v>37268.93</v>
      </c>
      <c r="P94">
        <v>191.97</v>
      </c>
      <c r="Q94">
        <v>988.08</v>
      </c>
      <c r="R94">
        <v>44.19</v>
      </c>
      <c r="S94">
        <v>35.43</v>
      </c>
      <c r="T94">
        <v>3348.87</v>
      </c>
      <c r="U94">
        <v>0.8</v>
      </c>
      <c r="V94">
        <v>0.88</v>
      </c>
      <c r="W94">
        <v>2.98</v>
      </c>
      <c r="X94">
        <v>0.2</v>
      </c>
      <c r="Y94">
        <v>1</v>
      </c>
      <c r="Z94">
        <v>10</v>
      </c>
    </row>
    <row r="95" spans="1:26" x14ac:dyDescent="0.3">
      <c r="A95">
        <v>53</v>
      </c>
      <c r="B95">
        <v>140</v>
      </c>
      <c r="C95" t="s">
        <v>26</v>
      </c>
      <c r="D95">
        <v>6.0885999999999996</v>
      </c>
      <c r="E95">
        <v>16.420000000000002</v>
      </c>
      <c r="F95">
        <v>12.95</v>
      </c>
      <c r="G95">
        <v>70.63</v>
      </c>
      <c r="H95">
        <v>0.84</v>
      </c>
      <c r="I95">
        <v>11</v>
      </c>
      <c r="J95">
        <v>300.81</v>
      </c>
      <c r="K95">
        <v>60.56</v>
      </c>
      <c r="L95">
        <v>14.25</v>
      </c>
      <c r="M95">
        <v>9</v>
      </c>
      <c r="N95">
        <v>86</v>
      </c>
      <c r="O95">
        <v>37333.9</v>
      </c>
      <c r="P95">
        <v>191.53</v>
      </c>
      <c r="Q95">
        <v>988.1</v>
      </c>
      <c r="R95">
        <v>43.81</v>
      </c>
      <c r="S95">
        <v>35.43</v>
      </c>
      <c r="T95">
        <v>3162.68</v>
      </c>
      <c r="U95">
        <v>0.81</v>
      </c>
      <c r="V95">
        <v>0.88</v>
      </c>
      <c r="W95">
        <v>2.98</v>
      </c>
      <c r="X95">
        <v>0.2</v>
      </c>
      <c r="Y95">
        <v>1</v>
      </c>
      <c r="Z95">
        <v>10</v>
      </c>
    </row>
    <row r="96" spans="1:26" x14ac:dyDescent="0.3">
      <c r="A96">
        <v>54</v>
      </c>
      <c r="B96">
        <v>140</v>
      </c>
      <c r="C96" t="s">
        <v>26</v>
      </c>
      <c r="D96">
        <v>6.09</v>
      </c>
      <c r="E96">
        <v>16.420000000000002</v>
      </c>
      <c r="F96">
        <v>12.94</v>
      </c>
      <c r="G96">
        <v>70.61</v>
      </c>
      <c r="H96">
        <v>0.86</v>
      </c>
      <c r="I96">
        <v>11</v>
      </c>
      <c r="J96">
        <v>301.33999999999997</v>
      </c>
      <c r="K96">
        <v>60.56</v>
      </c>
      <c r="L96">
        <v>14.5</v>
      </c>
      <c r="M96">
        <v>9</v>
      </c>
      <c r="N96">
        <v>86.28</v>
      </c>
      <c r="O96">
        <v>37399</v>
      </c>
      <c r="P96">
        <v>190.55</v>
      </c>
      <c r="Q96">
        <v>988.08</v>
      </c>
      <c r="R96">
        <v>43.83</v>
      </c>
      <c r="S96">
        <v>35.43</v>
      </c>
      <c r="T96">
        <v>3171.67</v>
      </c>
      <c r="U96">
        <v>0.81</v>
      </c>
      <c r="V96">
        <v>0.88</v>
      </c>
      <c r="W96">
        <v>2.98</v>
      </c>
      <c r="X96">
        <v>0.19</v>
      </c>
      <c r="Y96">
        <v>1</v>
      </c>
      <c r="Z96">
        <v>10</v>
      </c>
    </row>
    <row r="97" spans="1:26" x14ac:dyDescent="0.3">
      <c r="A97">
        <v>55</v>
      </c>
      <c r="B97">
        <v>140</v>
      </c>
      <c r="C97" t="s">
        <v>26</v>
      </c>
      <c r="D97">
        <v>6.0898000000000003</v>
      </c>
      <c r="E97">
        <v>16.420000000000002</v>
      </c>
      <c r="F97">
        <v>12.95</v>
      </c>
      <c r="G97">
        <v>70.61</v>
      </c>
      <c r="H97">
        <v>0.87</v>
      </c>
      <c r="I97">
        <v>11</v>
      </c>
      <c r="J97">
        <v>301.86</v>
      </c>
      <c r="K97">
        <v>60.56</v>
      </c>
      <c r="L97">
        <v>14.75</v>
      </c>
      <c r="M97">
        <v>9</v>
      </c>
      <c r="N97">
        <v>86.56</v>
      </c>
      <c r="O97">
        <v>37464.21</v>
      </c>
      <c r="P97">
        <v>189.42</v>
      </c>
      <c r="Q97">
        <v>988.15</v>
      </c>
      <c r="R97">
        <v>43.8</v>
      </c>
      <c r="S97">
        <v>35.43</v>
      </c>
      <c r="T97">
        <v>3157.91</v>
      </c>
      <c r="U97">
        <v>0.81</v>
      </c>
      <c r="V97">
        <v>0.88</v>
      </c>
      <c r="W97">
        <v>2.98</v>
      </c>
      <c r="X97">
        <v>0.19</v>
      </c>
      <c r="Y97">
        <v>1</v>
      </c>
      <c r="Z97">
        <v>10</v>
      </c>
    </row>
    <row r="98" spans="1:26" x14ac:dyDescent="0.3">
      <c r="A98">
        <v>56</v>
      </c>
      <c r="B98">
        <v>140</v>
      </c>
      <c r="C98" t="s">
        <v>26</v>
      </c>
      <c r="D98">
        <v>6.1155999999999997</v>
      </c>
      <c r="E98">
        <v>16.350000000000001</v>
      </c>
      <c r="F98">
        <v>12.93</v>
      </c>
      <c r="G98">
        <v>77.569999999999993</v>
      </c>
      <c r="H98">
        <v>0.88</v>
      </c>
      <c r="I98">
        <v>10</v>
      </c>
      <c r="J98">
        <v>302.39</v>
      </c>
      <c r="K98">
        <v>60.56</v>
      </c>
      <c r="L98">
        <v>15</v>
      </c>
      <c r="M98">
        <v>8</v>
      </c>
      <c r="N98">
        <v>86.84</v>
      </c>
      <c r="O98">
        <v>37529.550000000003</v>
      </c>
      <c r="P98">
        <v>187.7</v>
      </c>
      <c r="Q98">
        <v>988.08</v>
      </c>
      <c r="R98">
        <v>43.04</v>
      </c>
      <c r="S98">
        <v>35.43</v>
      </c>
      <c r="T98">
        <v>2780.17</v>
      </c>
      <c r="U98">
        <v>0.82</v>
      </c>
      <c r="V98">
        <v>0.88</v>
      </c>
      <c r="W98">
        <v>2.98</v>
      </c>
      <c r="X98">
        <v>0.17</v>
      </c>
      <c r="Y98">
        <v>1</v>
      </c>
      <c r="Z98">
        <v>10</v>
      </c>
    </row>
    <row r="99" spans="1:26" x14ac:dyDescent="0.3">
      <c r="A99">
        <v>57</v>
      </c>
      <c r="B99">
        <v>140</v>
      </c>
      <c r="C99" t="s">
        <v>26</v>
      </c>
      <c r="D99">
        <v>6.1113999999999997</v>
      </c>
      <c r="E99">
        <v>16.36</v>
      </c>
      <c r="F99">
        <v>12.94</v>
      </c>
      <c r="G99">
        <v>77.64</v>
      </c>
      <c r="H99">
        <v>0.9</v>
      </c>
      <c r="I99">
        <v>10</v>
      </c>
      <c r="J99">
        <v>302.92</v>
      </c>
      <c r="K99">
        <v>60.56</v>
      </c>
      <c r="L99">
        <v>15.25</v>
      </c>
      <c r="M99">
        <v>8</v>
      </c>
      <c r="N99">
        <v>87.12</v>
      </c>
      <c r="O99">
        <v>37595</v>
      </c>
      <c r="P99">
        <v>187.14</v>
      </c>
      <c r="Q99">
        <v>988.18</v>
      </c>
      <c r="R99">
        <v>43.59</v>
      </c>
      <c r="S99">
        <v>35.43</v>
      </c>
      <c r="T99">
        <v>3056.51</v>
      </c>
      <c r="U99">
        <v>0.81</v>
      </c>
      <c r="V99">
        <v>0.88</v>
      </c>
      <c r="W99">
        <v>2.98</v>
      </c>
      <c r="X99">
        <v>0.19</v>
      </c>
      <c r="Y99">
        <v>1</v>
      </c>
      <c r="Z99">
        <v>10</v>
      </c>
    </row>
    <row r="100" spans="1:26" x14ac:dyDescent="0.3">
      <c r="A100">
        <v>58</v>
      </c>
      <c r="B100">
        <v>140</v>
      </c>
      <c r="C100" t="s">
        <v>26</v>
      </c>
      <c r="D100">
        <v>6.1163999999999996</v>
      </c>
      <c r="E100">
        <v>16.350000000000001</v>
      </c>
      <c r="F100">
        <v>12.93</v>
      </c>
      <c r="G100">
        <v>77.56</v>
      </c>
      <c r="H100">
        <v>0.91</v>
      </c>
      <c r="I100">
        <v>10</v>
      </c>
      <c r="J100">
        <v>303.45999999999998</v>
      </c>
      <c r="K100">
        <v>60.56</v>
      </c>
      <c r="L100">
        <v>15.5</v>
      </c>
      <c r="M100">
        <v>8</v>
      </c>
      <c r="N100">
        <v>87.4</v>
      </c>
      <c r="O100">
        <v>37660.57</v>
      </c>
      <c r="P100">
        <v>185.94</v>
      </c>
      <c r="Q100">
        <v>988.1</v>
      </c>
      <c r="R100">
        <v>43.13</v>
      </c>
      <c r="S100">
        <v>35.43</v>
      </c>
      <c r="T100">
        <v>2824.6</v>
      </c>
      <c r="U100">
        <v>0.82</v>
      </c>
      <c r="V100">
        <v>0.88</v>
      </c>
      <c r="W100">
        <v>2.98</v>
      </c>
      <c r="X100">
        <v>0.17</v>
      </c>
      <c r="Y100">
        <v>1</v>
      </c>
      <c r="Z100">
        <v>10</v>
      </c>
    </row>
    <row r="101" spans="1:26" x14ac:dyDescent="0.3">
      <c r="A101">
        <v>59</v>
      </c>
      <c r="B101">
        <v>140</v>
      </c>
      <c r="C101" t="s">
        <v>26</v>
      </c>
      <c r="D101">
        <v>6.1143999999999998</v>
      </c>
      <c r="E101">
        <v>16.350000000000001</v>
      </c>
      <c r="F101">
        <v>12.93</v>
      </c>
      <c r="G101">
        <v>77.59</v>
      </c>
      <c r="H101">
        <v>0.92</v>
      </c>
      <c r="I101">
        <v>10</v>
      </c>
      <c r="J101">
        <v>303.99</v>
      </c>
      <c r="K101">
        <v>60.56</v>
      </c>
      <c r="L101">
        <v>15.75</v>
      </c>
      <c r="M101">
        <v>8</v>
      </c>
      <c r="N101">
        <v>87.68</v>
      </c>
      <c r="O101">
        <v>37726.269999999997</v>
      </c>
      <c r="P101">
        <v>186.15</v>
      </c>
      <c r="Q101">
        <v>988.12</v>
      </c>
      <c r="R101">
        <v>43.16</v>
      </c>
      <c r="S101">
        <v>35.43</v>
      </c>
      <c r="T101">
        <v>2842.71</v>
      </c>
      <c r="U101">
        <v>0.82</v>
      </c>
      <c r="V101">
        <v>0.88</v>
      </c>
      <c r="W101">
        <v>2.98</v>
      </c>
      <c r="X101">
        <v>0.18</v>
      </c>
      <c r="Y101">
        <v>1</v>
      </c>
      <c r="Z101">
        <v>10</v>
      </c>
    </row>
    <row r="102" spans="1:26" x14ac:dyDescent="0.3">
      <c r="A102">
        <v>60</v>
      </c>
      <c r="B102">
        <v>140</v>
      </c>
      <c r="C102" t="s">
        <v>26</v>
      </c>
      <c r="D102">
        <v>6.1131000000000002</v>
      </c>
      <c r="E102">
        <v>16.36</v>
      </c>
      <c r="F102">
        <v>12.94</v>
      </c>
      <c r="G102">
        <v>77.61</v>
      </c>
      <c r="H102">
        <v>0.94</v>
      </c>
      <c r="I102">
        <v>10</v>
      </c>
      <c r="J102">
        <v>304.52</v>
      </c>
      <c r="K102">
        <v>60.56</v>
      </c>
      <c r="L102">
        <v>16</v>
      </c>
      <c r="M102">
        <v>8</v>
      </c>
      <c r="N102">
        <v>87.97</v>
      </c>
      <c r="O102">
        <v>37792.080000000002</v>
      </c>
      <c r="P102">
        <v>185.14</v>
      </c>
      <c r="Q102">
        <v>988.08</v>
      </c>
      <c r="R102">
        <v>43.37</v>
      </c>
      <c r="S102">
        <v>35.43</v>
      </c>
      <c r="T102">
        <v>2947.3</v>
      </c>
      <c r="U102">
        <v>0.82</v>
      </c>
      <c r="V102">
        <v>0.88</v>
      </c>
      <c r="W102">
        <v>2.98</v>
      </c>
      <c r="X102">
        <v>0.18</v>
      </c>
      <c r="Y102">
        <v>1</v>
      </c>
      <c r="Z102">
        <v>10</v>
      </c>
    </row>
    <row r="103" spans="1:26" x14ac:dyDescent="0.3">
      <c r="A103">
        <v>61</v>
      </c>
      <c r="B103">
        <v>140</v>
      </c>
      <c r="C103" t="s">
        <v>26</v>
      </c>
      <c r="D103">
        <v>6.1151999999999997</v>
      </c>
      <c r="E103">
        <v>16.350000000000001</v>
      </c>
      <c r="F103">
        <v>12.93</v>
      </c>
      <c r="G103">
        <v>77.58</v>
      </c>
      <c r="H103">
        <v>0.95</v>
      </c>
      <c r="I103">
        <v>10</v>
      </c>
      <c r="J103">
        <v>305.06</v>
      </c>
      <c r="K103">
        <v>60.56</v>
      </c>
      <c r="L103">
        <v>16.25</v>
      </c>
      <c r="M103">
        <v>8</v>
      </c>
      <c r="N103">
        <v>88.25</v>
      </c>
      <c r="O103">
        <v>37858.019999999997</v>
      </c>
      <c r="P103">
        <v>184.14</v>
      </c>
      <c r="Q103">
        <v>988.1</v>
      </c>
      <c r="R103">
        <v>43.25</v>
      </c>
      <c r="S103">
        <v>35.43</v>
      </c>
      <c r="T103">
        <v>2886.65</v>
      </c>
      <c r="U103">
        <v>0.82</v>
      </c>
      <c r="V103">
        <v>0.88</v>
      </c>
      <c r="W103">
        <v>2.98</v>
      </c>
      <c r="X103">
        <v>0.18</v>
      </c>
      <c r="Y103">
        <v>1</v>
      </c>
      <c r="Z103">
        <v>10</v>
      </c>
    </row>
    <row r="104" spans="1:26" x14ac:dyDescent="0.3">
      <c r="A104">
        <v>62</v>
      </c>
      <c r="B104">
        <v>140</v>
      </c>
      <c r="C104" t="s">
        <v>26</v>
      </c>
      <c r="D104">
        <v>6.1388999999999996</v>
      </c>
      <c r="E104">
        <v>16.29</v>
      </c>
      <c r="F104">
        <v>12.92</v>
      </c>
      <c r="G104">
        <v>86.12</v>
      </c>
      <c r="H104">
        <v>0.96</v>
      </c>
      <c r="I104">
        <v>9</v>
      </c>
      <c r="J104">
        <v>305.58999999999997</v>
      </c>
      <c r="K104">
        <v>60.56</v>
      </c>
      <c r="L104">
        <v>16.5</v>
      </c>
      <c r="M104">
        <v>7</v>
      </c>
      <c r="N104">
        <v>88.54</v>
      </c>
      <c r="O104">
        <v>37924.080000000002</v>
      </c>
      <c r="P104">
        <v>183.05</v>
      </c>
      <c r="Q104">
        <v>988.11</v>
      </c>
      <c r="R104">
        <v>42.83</v>
      </c>
      <c r="S104">
        <v>35.43</v>
      </c>
      <c r="T104">
        <v>2678.61</v>
      </c>
      <c r="U104">
        <v>0.83</v>
      </c>
      <c r="V104">
        <v>0.88</v>
      </c>
      <c r="W104">
        <v>2.98</v>
      </c>
      <c r="X104">
        <v>0.16</v>
      </c>
      <c r="Y104">
        <v>1</v>
      </c>
      <c r="Z104">
        <v>10</v>
      </c>
    </row>
    <row r="105" spans="1:26" x14ac:dyDescent="0.3">
      <c r="A105">
        <v>63</v>
      </c>
      <c r="B105">
        <v>140</v>
      </c>
      <c r="C105" t="s">
        <v>26</v>
      </c>
      <c r="D105">
        <v>6.1402000000000001</v>
      </c>
      <c r="E105">
        <v>16.29</v>
      </c>
      <c r="F105">
        <v>12.91</v>
      </c>
      <c r="G105">
        <v>86.1</v>
      </c>
      <c r="H105">
        <v>0.97</v>
      </c>
      <c r="I105">
        <v>9</v>
      </c>
      <c r="J105">
        <v>306.13</v>
      </c>
      <c r="K105">
        <v>60.56</v>
      </c>
      <c r="L105">
        <v>16.75</v>
      </c>
      <c r="M105">
        <v>7</v>
      </c>
      <c r="N105">
        <v>88.83</v>
      </c>
      <c r="O105">
        <v>37990.269999999997</v>
      </c>
      <c r="P105">
        <v>183.25</v>
      </c>
      <c r="Q105">
        <v>988.08</v>
      </c>
      <c r="R105">
        <v>42.84</v>
      </c>
      <c r="S105">
        <v>35.43</v>
      </c>
      <c r="T105">
        <v>2685.46</v>
      </c>
      <c r="U105">
        <v>0.83</v>
      </c>
      <c r="V105">
        <v>0.88</v>
      </c>
      <c r="W105">
        <v>2.98</v>
      </c>
      <c r="X105">
        <v>0.16</v>
      </c>
      <c r="Y105">
        <v>1</v>
      </c>
      <c r="Z105">
        <v>10</v>
      </c>
    </row>
    <row r="106" spans="1:26" x14ac:dyDescent="0.3">
      <c r="A106">
        <v>64</v>
      </c>
      <c r="B106">
        <v>140</v>
      </c>
      <c r="C106" t="s">
        <v>26</v>
      </c>
      <c r="D106">
        <v>6.1394000000000002</v>
      </c>
      <c r="E106">
        <v>16.29</v>
      </c>
      <c r="F106">
        <v>12.92</v>
      </c>
      <c r="G106">
        <v>86.11</v>
      </c>
      <c r="H106">
        <v>0.99</v>
      </c>
      <c r="I106">
        <v>9</v>
      </c>
      <c r="J106">
        <v>306.67</v>
      </c>
      <c r="K106">
        <v>60.56</v>
      </c>
      <c r="L106">
        <v>17</v>
      </c>
      <c r="M106">
        <v>7</v>
      </c>
      <c r="N106">
        <v>89.11</v>
      </c>
      <c r="O106">
        <v>38056.58</v>
      </c>
      <c r="P106">
        <v>183.08</v>
      </c>
      <c r="Q106">
        <v>988.08</v>
      </c>
      <c r="R106">
        <v>42.88</v>
      </c>
      <c r="S106">
        <v>35.43</v>
      </c>
      <c r="T106">
        <v>2707.13</v>
      </c>
      <c r="U106">
        <v>0.83</v>
      </c>
      <c r="V106">
        <v>0.88</v>
      </c>
      <c r="W106">
        <v>2.98</v>
      </c>
      <c r="X106">
        <v>0.16</v>
      </c>
      <c r="Y106">
        <v>1</v>
      </c>
      <c r="Z106">
        <v>10</v>
      </c>
    </row>
    <row r="107" spans="1:26" x14ac:dyDescent="0.3">
      <c r="A107">
        <v>65</v>
      </c>
      <c r="B107">
        <v>140</v>
      </c>
      <c r="C107" t="s">
        <v>26</v>
      </c>
      <c r="D107">
        <v>6.1410999999999998</v>
      </c>
      <c r="E107">
        <v>16.28</v>
      </c>
      <c r="F107">
        <v>12.91</v>
      </c>
      <c r="G107">
        <v>86.08</v>
      </c>
      <c r="H107">
        <v>1</v>
      </c>
      <c r="I107">
        <v>9</v>
      </c>
      <c r="J107">
        <v>307.20999999999998</v>
      </c>
      <c r="K107">
        <v>60.56</v>
      </c>
      <c r="L107">
        <v>17.25</v>
      </c>
      <c r="M107">
        <v>6</v>
      </c>
      <c r="N107">
        <v>89.4</v>
      </c>
      <c r="O107">
        <v>38123.01</v>
      </c>
      <c r="P107">
        <v>182.32</v>
      </c>
      <c r="Q107">
        <v>988.1</v>
      </c>
      <c r="R107">
        <v>42.71</v>
      </c>
      <c r="S107">
        <v>35.43</v>
      </c>
      <c r="T107">
        <v>2619.04</v>
      </c>
      <c r="U107">
        <v>0.83</v>
      </c>
      <c r="V107">
        <v>0.88</v>
      </c>
      <c r="W107">
        <v>2.98</v>
      </c>
      <c r="X107">
        <v>0.16</v>
      </c>
      <c r="Y107">
        <v>1</v>
      </c>
      <c r="Z107">
        <v>10</v>
      </c>
    </row>
    <row r="108" spans="1:26" x14ac:dyDescent="0.3">
      <c r="A108">
        <v>66</v>
      </c>
      <c r="B108">
        <v>140</v>
      </c>
      <c r="C108" t="s">
        <v>26</v>
      </c>
      <c r="D108">
        <v>6.1420000000000003</v>
      </c>
      <c r="E108">
        <v>16.28</v>
      </c>
      <c r="F108">
        <v>12.91</v>
      </c>
      <c r="G108">
        <v>86.07</v>
      </c>
      <c r="H108">
        <v>1.01</v>
      </c>
      <c r="I108">
        <v>9</v>
      </c>
      <c r="J108">
        <v>307.75</v>
      </c>
      <c r="K108">
        <v>60.56</v>
      </c>
      <c r="L108">
        <v>17.5</v>
      </c>
      <c r="M108">
        <v>5</v>
      </c>
      <c r="N108">
        <v>89.69</v>
      </c>
      <c r="O108">
        <v>38189.58</v>
      </c>
      <c r="P108">
        <v>181.33</v>
      </c>
      <c r="Q108">
        <v>988.1</v>
      </c>
      <c r="R108">
        <v>42.38</v>
      </c>
      <c r="S108">
        <v>35.43</v>
      </c>
      <c r="T108">
        <v>2454.44</v>
      </c>
      <c r="U108">
        <v>0.84</v>
      </c>
      <c r="V108">
        <v>0.88</v>
      </c>
      <c r="W108">
        <v>2.98</v>
      </c>
      <c r="X108">
        <v>0.16</v>
      </c>
      <c r="Y108">
        <v>1</v>
      </c>
      <c r="Z108">
        <v>10</v>
      </c>
    </row>
    <row r="109" spans="1:26" x14ac:dyDescent="0.3">
      <c r="A109">
        <v>67</v>
      </c>
      <c r="B109">
        <v>140</v>
      </c>
      <c r="C109" t="s">
        <v>26</v>
      </c>
      <c r="D109">
        <v>6.1417000000000002</v>
      </c>
      <c r="E109">
        <v>16.28</v>
      </c>
      <c r="F109">
        <v>12.91</v>
      </c>
      <c r="G109">
        <v>86.07</v>
      </c>
      <c r="H109">
        <v>1.03</v>
      </c>
      <c r="I109">
        <v>9</v>
      </c>
      <c r="J109">
        <v>308.29000000000002</v>
      </c>
      <c r="K109">
        <v>60.56</v>
      </c>
      <c r="L109">
        <v>17.75</v>
      </c>
      <c r="M109">
        <v>4</v>
      </c>
      <c r="N109">
        <v>89.98</v>
      </c>
      <c r="O109">
        <v>38256.26</v>
      </c>
      <c r="P109">
        <v>180.73</v>
      </c>
      <c r="Q109">
        <v>988.08</v>
      </c>
      <c r="R109">
        <v>42.49</v>
      </c>
      <c r="S109">
        <v>35.43</v>
      </c>
      <c r="T109">
        <v>2511.4299999999998</v>
      </c>
      <c r="U109">
        <v>0.83</v>
      </c>
      <c r="V109">
        <v>0.88</v>
      </c>
      <c r="W109">
        <v>2.98</v>
      </c>
      <c r="X109">
        <v>0.16</v>
      </c>
      <c r="Y109">
        <v>1</v>
      </c>
      <c r="Z109">
        <v>10</v>
      </c>
    </row>
    <row r="110" spans="1:26" x14ac:dyDescent="0.3">
      <c r="A110">
        <v>68</v>
      </c>
      <c r="B110">
        <v>140</v>
      </c>
      <c r="C110" t="s">
        <v>26</v>
      </c>
      <c r="D110">
        <v>6.1394000000000002</v>
      </c>
      <c r="E110">
        <v>16.29</v>
      </c>
      <c r="F110">
        <v>12.92</v>
      </c>
      <c r="G110">
        <v>86.11</v>
      </c>
      <c r="H110">
        <v>1.04</v>
      </c>
      <c r="I110">
        <v>9</v>
      </c>
      <c r="J110">
        <v>308.83</v>
      </c>
      <c r="K110">
        <v>60.56</v>
      </c>
      <c r="L110">
        <v>18</v>
      </c>
      <c r="M110">
        <v>3</v>
      </c>
      <c r="N110">
        <v>90.27</v>
      </c>
      <c r="O110">
        <v>38323.08</v>
      </c>
      <c r="P110">
        <v>179.64</v>
      </c>
      <c r="Q110">
        <v>988.08</v>
      </c>
      <c r="R110">
        <v>42.62</v>
      </c>
      <c r="S110">
        <v>35.43</v>
      </c>
      <c r="T110">
        <v>2574.54</v>
      </c>
      <c r="U110">
        <v>0.83</v>
      </c>
      <c r="V110">
        <v>0.88</v>
      </c>
      <c r="W110">
        <v>2.99</v>
      </c>
      <c r="X110">
        <v>0.16</v>
      </c>
      <c r="Y110">
        <v>1</v>
      </c>
      <c r="Z110">
        <v>10</v>
      </c>
    </row>
    <row r="111" spans="1:26" x14ac:dyDescent="0.3">
      <c r="A111">
        <v>69</v>
      </c>
      <c r="B111">
        <v>140</v>
      </c>
      <c r="C111" t="s">
        <v>26</v>
      </c>
      <c r="D111">
        <v>6.1382000000000003</v>
      </c>
      <c r="E111">
        <v>16.29</v>
      </c>
      <c r="F111">
        <v>12.92</v>
      </c>
      <c r="G111">
        <v>86.14</v>
      </c>
      <c r="H111">
        <v>1.05</v>
      </c>
      <c r="I111">
        <v>9</v>
      </c>
      <c r="J111">
        <v>309.37</v>
      </c>
      <c r="K111">
        <v>60.56</v>
      </c>
      <c r="L111">
        <v>18.25</v>
      </c>
      <c r="M111">
        <v>3</v>
      </c>
      <c r="N111">
        <v>90.57</v>
      </c>
      <c r="O111">
        <v>38390.019999999997</v>
      </c>
      <c r="P111">
        <v>179.48</v>
      </c>
      <c r="Q111">
        <v>988.08</v>
      </c>
      <c r="R111">
        <v>42.73</v>
      </c>
      <c r="S111">
        <v>35.43</v>
      </c>
      <c r="T111">
        <v>2632.27</v>
      </c>
      <c r="U111">
        <v>0.83</v>
      </c>
      <c r="V111">
        <v>0.88</v>
      </c>
      <c r="W111">
        <v>2.99</v>
      </c>
      <c r="X111">
        <v>0.17</v>
      </c>
      <c r="Y111">
        <v>1</v>
      </c>
      <c r="Z111">
        <v>10</v>
      </c>
    </row>
    <row r="112" spans="1:26" x14ac:dyDescent="0.3">
      <c r="A112">
        <v>70</v>
      </c>
      <c r="B112">
        <v>140</v>
      </c>
      <c r="C112" t="s">
        <v>26</v>
      </c>
      <c r="D112">
        <v>6.1375000000000002</v>
      </c>
      <c r="E112">
        <v>16.29</v>
      </c>
      <c r="F112">
        <v>12.92</v>
      </c>
      <c r="G112">
        <v>86.15</v>
      </c>
      <c r="H112">
        <v>1.06</v>
      </c>
      <c r="I112">
        <v>9</v>
      </c>
      <c r="J112">
        <v>309.91000000000003</v>
      </c>
      <c r="K112">
        <v>60.56</v>
      </c>
      <c r="L112">
        <v>18.5</v>
      </c>
      <c r="M112">
        <v>2</v>
      </c>
      <c r="N112">
        <v>90.86</v>
      </c>
      <c r="O112">
        <v>38457.089999999997</v>
      </c>
      <c r="P112">
        <v>179.3</v>
      </c>
      <c r="Q112">
        <v>988.08</v>
      </c>
      <c r="R112">
        <v>42.71</v>
      </c>
      <c r="S112">
        <v>35.43</v>
      </c>
      <c r="T112">
        <v>2619.7399999999998</v>
      </c>
      <c r="U112">
        <v>0.83</v>
      </c>
      <c r="V112">
        <v>0.88</v>
      </c>
      <c r="W112">
        <v>2.99</v>
      </c>
      <c r="X112">
        <v>0.17</v>
      </c>
      <c r="Y112">
        <v>1</v>
      </c>
      <c r="Z112">
        <v>10</v>
      </c>
    </row>
    <row r="113" spans="1:26" x14ac:dyDescent="0.3">
      <c r="A113">
        <v>71</v>
      </c>
      <c r="B113">
        <v>140</v>
      </c>
      <c r="C113" t="s">
        <v>26</v>
      </c>
      <c r="D113">
        <v>6.1365999999999996</v>
      </c>
      <c r="E113">
        <v>16.3</v>
      </c>
      <c r="F113">
        <v>12.92</v>
      </c>
      <c r="G113">
        <v>86.16</v>
      </c>
      <c r="H113">
        <v>1.08</v>
      </c>
      <c r="I113">
        <v>9</v>
      </c>
      <c r="J113">
        <v>310.45999999999998</v>
      </c>
      <c r="K113">
        <v>60.56</v>
      </c>
      <c r="L113">
        <v>18.75</v>
      </c>
      <c r="M113">
        <v>1</v>
      </c>
      <c r="N113">
        <v>91.16</v>
      </c>
      <c r="O113">
        <v>38524.29</v>
      </c>
      <c r="P113">
        <v>179.21</v>
      </c>
      <c r="Q113">
        <v>988.08</v>
      </c>
      <c r="R113">
        <v>42.76</v>
      </c>
      <c r="S113">
        <v>35.43</v>
      </c>
      <c r="T113">
        <v>2645.15</v>
      </c>
      <c r="U113">
        <v>0.83</v>
      </c>
      <c r="V113">
        <v>0.88</v>
      </c>
      <c r="W113">
        <v>2.99</v>
      </c>
      <c r="X113">
        <v>0.17</v>
      </c>
      <c r="Y113">
        <v>1</v>
      </c>
      <c r="Z113">
        <v>10</v>
      </c>
    </row>
    <row r="114" spans="1:26" x14ac:dyDescent="0.3">
      <c r="A114">
        <v>72</v>
      </c>
      <c r="B114">
        <v>140</v>
      </c>
      <c r="C114" t="s">
        <v>26</v>
      </c>
      <c r="D114">
        <v>6.1364999999999998</v>
      </c>
      <c r="E114">
        <v>16.3</v>
      </c>
      <c r="F114">
        <v>12.92</v>
      </c>
      <c r="G114">
        <v>86.16</v>
      </c>
      <c r="H114">
        <v>1.0900000000000001</v>
      </c>
      <c r="I114">
        <v>9</v>
      </c>
      <c r="J114">
        <v>311.01</v>
      </c>
      <c r="K114">
        <v>60.56</v>
      </c>
      <c r="L114">
        <v>19</v>
      </c>
      <c r="M114">
        <v>0</v>
      </c>
      <c r="N114">
        <v>91.45</v>
      </c>
      <c r="O114">
        <v>38591.620000000003</v>
      </c>
      <c r="P114">
        <v>179.34</v>
      </c>
      <c r="Q114">
        <v>988.08</v>
      </c>
      <c r="R114">
        <v>42.77</v>
      </c>
      <c r="S114">
        <v>35.43</v>
      </c>
      <c r="T114">
        <v>2652.63</v>
      </c>
      <c r="U114">
        <v>0.83</v>
      </c>
      <c r="V114">
        <v>0.88</v>
      </c>
      <c r="W114">
        <v>2.99</v>
      </c>
      <c r="X114">
        <v>0.17</v>
      </c>
      <c r="Y114">
        <v>1</v>
      </c>
      <c r="Z114">
        <v>10</v>
      </c>
    </row>
    <row r="115" spans="1:26" x14ac:dyDescent="0.3">
      <c r="A115">
        <v>0</v>
      </c>
      <c r="B115">
        <v>40</v>
      </c>
      <c r="C115" t="s">
        <v>26</v>
      </c>
      <c r="D115">
        <v>5.5658000000000003</v>
      </c>
      <c r="E115">
        <v>17.97</v>
      </c>
      <c r="F115">
        <v>14.44</v>
      </c>
      <c r="G115">
        <v>10.31</v>
      </c>
      <c r="H115">
        <v>0.2</v>
      </c>
      <c r="I115">
        <v>84</v>
      </c>
      <c r="J115">
        <v>89.87</v>
      </c>
      <c r="K115">
        <v>37.549999999999997</v>
      </c>
      <c r="L115">
        <v>1</v>
      </c>
      <c r="M115">
        <v>82</v>
      </c>
      <c r="N115">
        <v>11.32</v>
      </c>
      <c r="O115">
        <v>11317.98</v>
      </c>
      <c r="P115">
        <v>115.02</v>
      </c>
      <c r="Q115">
        <v>988.39</v>
      </c>
      <c r="R115">
        <v>90.47</v>
      </c>
      <c r="S115">
        <v>35.43</v>
      </c>
      <c r="T115">
        <v>26126.14</v>
      </c>
      <c r="U115">
        <v>0.39</v>
      </c>
      <c r="V115">
        <v>0.79</v>
      </c>
      <c r="W115">
        <v>3.1</v>
      </c>
      <c r="X115">
        <v>1.68</v>
      </c>
      <c r="Y115">
        <v>1</v>
      </c>
      <c r="Z115">
        <v>10</v>
      </c>
    </row>
    <row r="116" spans="1:26" x14ac:dyDescent="0.3">
      <c r="A116">
        <v>1</v>
      </c>
      <c r="B116">
        <v>40</v>
      </c>
      <c r="C116" t="s">
        <v>26</v>
      </c>
      <c r="D116">
        <v>5.8204000000000002</v>
      </c>
      <c r="E116">
        <v>17.18</v>
      </c>
      <c r="F116">
        <v>14.03</v>
      </c>
      <c r="G116">
        <v>13.15</v>
      </c>
      <c r="H116">
        <v>0.24</v>
      </c>
      <c r="I116">
        <v>64</v>
      </c>
      <c r="J116">
        <v>90.18</v>
      </c>
      <c r="K116">
        <v>37.549999999999997</v>
      </c>
      <c r="L116">
        <v>1.25</v>
      </c>
      <c r="M116">
        <v>62</v>
      </c>
      <c r="N116">
        <v>11.37</v>
      </c>
      <c r="O116">
        <v>11355.7</v>
      </c>
      <c r="P116">
        <v>109.51</v>
      </c>
      <c r="Q116">
        <v>988.32</v>
      </c>
      <c r="R116">
        <v>77.48</v>
      </c>
      <c r="S116">
        <v>35.43</v>
      </c>
      <c r="T116">
        <v>19728.89</v>
      </c>
      <c r="U116">
        <v>0.46</v>
      </c>
      <c r="V116">
        <v>0.81</v>
      </c>
      <c r="W116">
        <v>3.07</v>
      </c>
      <c r="X116">
        <v>1.28</v>
      </c>
      <c r="Y116">
        <v>1</v>
      </c>
      <c r="Z116">
        <v>10</v>
      </c>
    </row>
    <row r="117" spans="1:26" x14ac:dyDescent="0.3">
      <c r="A117">
        <v>2</v>
      </c>
      <c r="B117">
        <v>40</v>
      </c>
      <c r="C117" t="s">
        <v>26</v>
      </c>
      <c r="D117">
        <v>5.9932999999999996</v>
      </c>
      <c r="E117">
        <v>16.690000000000001</v>
      </c>
      <c r="F117">
        <v>13.78</v>
      </c>
      <c r="G117">
        <v>16.21</v>
      </c>
      <c r="H117">
        <v>0.28999999999999998</v>
      </c>
      <c r="I117">
        <v>51</v>
      </c>
      <c r="J117">
        <v>90.48</v>
      </c>
      <c r="K117">
        <v>37.549999999999997</v>
      </c>
      <c r="L117">
        <v>1.5</v>
      </c>
      <c r="M117">
        <v>49</v>
      </c>
      <c r="N117">
        <v>11.43</v>
      </c>
      <c r="O117">
        <v>11393.43</v>
      </c>
      <c r="P117">
        <v>104.63</v>
      </c>
      <c r="Q117">
        <v>988.19</v>
      </c>
      <c r="R117">
        <v>69.709999999999994</v>
      </c>
      <c r="S117">
        <v>35.43</v>
      </c>
      <c r="T117">
        <v>15912.24</v>
      </c>
      <c r="U117">
        <v>0.51</v>
      </c>
      <c r="V117">
        <v>0.83</v>
      </c>
      <c r="W117">
        <v>3.05</v>
      </c>
      <c r="X117">
        <v>1.03</v>
      </c>
      <c r="Y117">
        <v>1</v>
      </c>
      <c r="Z117">
        <v>10</v>
      </c>
    </row>
    <row r="118" spans="1:26" x14ac:dyDescent="0.3">
      <c r="A118">
        <v>3</v>
      </c>
      <c r="B118">
        <v>40</v>
      </c>
      <c r="C118" t="s">
        <v>26</v>
      </c>
      <c r="D118">
        <v>6.1135000000000002</v>
      </c>
      <c r="E118">
        <v>16.36</v>
      </c>
      <c r="F118">
        <v>13.61</v>
      </c>
      <c r="G118">
        <v>18.98</v>
      </c>
      <c r="H118">
        <v>0.34</v>
      </c>
      <c r="I118">
        <v>43</v>
      </c>
      <c r="J118">
        <v>90.79</v>
      </c>
      <c r="K118">
        <v>37.549999999999997</v>
      </c>
      <c r="L118">
        <v>1.75</v>
      </c>
      <c r="M118">
        <v>41</v>
      </c>
      <c r="N118">
        <v>11.49</v>
      </c>
      <c r="O118">
        <v>11431.19</v>
      </c>
      <c r="P118">
        <v>100.57</v>
      </c>
      <c r="Q118">
        <v>988.32</v>
      </c>
      <c r="R118">
        <v>64.02</v>
      </c>
      <c r="S118">
        <v>35.43</v>
      </c>
      <c r="T118">
        <v>13106.87</v>
      </c>
      <c r="U118">
        <v>0.55000000000000004</v>
      </c>
      <c r="V118">
        <v>0.84</v>
      </c>
      <c r="W118">
        <v>3.04</v>
      </c>
      <c r="X118">
        <v>0.85</v>
      </c>
      <c r="Y118">
        <v>1</v>
      </c>
      <c r="Z118">
        <v>10</v>
      </c>
    </row>
    <row r="119" spans="1:26" x14ac:dyDescent="0.3">
      <c r="A119">
        <v>4</v>
      </c>
      <c r="B119">
        <v>40</v>
      </c>
      <c r="C119" t="s">
        <v>26</v>
      </c>
      <c r="D119">
        <v>6.2257999999999996</v>
      </c>
      <c r="E119">
        <v>16.059999999999999</v>
      </c>
      <c r="F119">
        <v>13.44</v>
      </c>
      <c r="G119">
        <v>22.4</v>
      </c>
      <c r="H119">
        <v>0.39</v>
      </c>
      <c r="I119">
        <v>36</v>
      </c>
      <c r="J119">
        <v>91.1</v>
      </c>
      <c r="K119">
        <v>37.549999999999997</v>
      </c>
      <c r="L119">
        <v>2</v>
      </c>
      <c r="M119">
        <v>34</v>
      </c>
      <c r="N119">
        <v>11.54</v>
      </c>
      <c r="O119">
        <v>11468.97</v>
      </c>
      <c r="P119">
        <v>97.07</v>
      </c>
      <c r="Q119">
        <v>988.13</v>
      </c>
      <c r="R119">
        <v>59.23</v>
      </c>
      <c r="S119">
        <v>35.43</v>
      </c>
      <c r="T119">
        <v>10744.83</v>
      </c>
      <c r="U119">
        <v>0.6</v>
      </c>
      <c r="V119">
        <v>0.85</v>
      </c>
      <c r="W119">
        <v>3.02</v>
      </c>
      <c r="X119">
        <v>0.69</v>
      </c>
      <c r="Y119">
        <v>1</v>
      </c>
      <c r="Z119">
        <v>10</v>
      </c>
    </row>
    <row r="120" spans="1:26" x14ac:dyDescent="0.3">
      <c r="A120">
        <v>5</v>
      </c>
      <c r="B120">
        <v>40</v>
      </c>
      <c r="C120" t="s">
        <v>26</v>
      </c>
      <c r="D120">
        <v>6.2925000000000004</v>
      </c>
      <c r="E120">
        <v>15.89</v>
      </c>
      <c r="F120">
        <v>13.37</v>
      </c>
      <c r="G120">
        <v>25.87</v>
      </c>
      <c r="H120">
        <v>0.43</v>
      </c>
      <c r="I120">
        <v>31</v>
      </c>
      <c r="J120">
        <v>91.4</v>
      </c>
      <c r="K120">
        <v>37.549999999999997</v>
      </c>
      <c r="L120">
        <v>2.25</v>
      </c>
      <c r="M120">
        <v>29</v>
      </c>
      <c r="N120">
        <v>11.6</v>
      </c>
      <c r="O120">
        <v>11506.78</v>
      </c>
      <c r="P120">
        <v>93.5</v>
      </c>
      <c r="Q120">
        <v>988.14</v>
      </c>
      <c r="R120">
        <v>56.75</v>
      </c>
      <c r="S120">
        <v>35.43</v>
      </c>
      <c r="T120">
        <v>9530.18</v>
      </c>
      <c r="U120">
        <v>0.62</v>
      </c>
      <c r="V120">
        <v>0.85</v>
      </c>
      <c r="W120">
        <v>3.02</v>
      </c>
      <c r="X120">
        <v>0.61</v>
      </c>
      <c r="Y120">
        <v>1</v>
      </c>
      <c r="Z120">
        <v>10</v>
      </c>
    </row>
    <row r="121" spans="1:26" x14ac:dyDescent="0.3">
      <c r="A121">
        <v>6</v>
      </c>
      <c r="B121">
        <v>40</v>
      </c>
      <c r="C121" t="s">
        <v>26</v>
      </c>
      <c r="D121">
        <v>6.3341000000000003</v>
      </c>
      <c r="E121">
        <v>15.79</v>
      </c>
      <c r="F121">
        <v>13.32</v>
      </c>
      <c r="G121">
        <v>28.54</v>
      </c>
      <c r="H121">
        <v>0.48</v>
      </c>
      <c r="I121">
        <v>28</v>
      </c>
      <c r="J121">
        <v>91.71</v>
      </c>
      <c r="K121">
        <v>37.549999999999997</v>
      </c>
      <c r="L121">
        <v>2.5</v>
      </c>
      <c r="M121">
        <v>14</v>
      </c>
      <c r="N121">
        <v>11.66</v>
      </c>
      <c r="O121">
        <v>11544.61</v>
      </c>
      <c r="P121">
        <v>90.63</v>
      </c>
      <c r="Q121">
        <v>988.31</v>
      </c>
      <c r="R121">
        <v>54.58</v>
      </c>
      <c r="S121">
        <v>35.43</v>
      </c>
      <c r="T121">
        <v>8459.66</v>
      </c>
      <c r="U121">
        <v>0.65</v>
      </c>
      <c r="V121">
        <v>0.86</v>
      </c>
      <c r="W121">
        <v>3.03</v>
      </c>
      <c r="X121">
        <v>0.56000000000000005</v>
      </c>
      <c r="Y121">
        <v>1</v>
      </c>
      <c r="Z121">
        <v>10</v>
      </c>
    </row>
    <row r="122" spans="1:26" x14ac:dyDescent="0.3">
      <c r="A122">
        <v>7</v>
      </c>
      <c r="B122">
        <v>40</v>
      </c>
      <c r="C122" t="s">
        <v>26</v>
      </c>
      <c r="D122">
        <v>6.3650000000000002</v>
      </c>
      <c r="E122">
        <v>15.71</v>
      </c>
      <c r="F122">
        <v>13.28</v>
      </c>
      <c r="G122">
        <v>30.65</v>
      </c>
      <c r="H122">
        <v>0.52</v>
      </c>
      <c r="I122">
        <v>26</v>
      </c>
      <c r="J122">
        <v>92.02</v>
      </c>
      <c r="K122">
        <v>37.549999999999997</v>
      </c>
      <c r="L122">
        <v>2.75</v>
      </c>
      <c r="M122">
        <v>3</v>
      </c>
      <c r="N122">
        <v>11.71</v>
      </c>
      <c r="O122">
        <v>11582.46</v>
      </c>
      <c r="P122">
        <v>89.26</v>
      </c>
      <c r="Q122">
        <v>988.26</v>
      </c>
      <c r="R122">
        <v>53.35</v>
      </c>
      <c r="S122">
        <v>35.43</v>
      </c>
      <c r="T122">
        <v>7857.64</v>
      </c>
      <c r="U122">
        <v>0.66</v>
      </c>
      <c r="V122">
        <v>0.86</v>
      </c>
      <c r="W122">
        <v>3.03</v>
      </c>
      <c r="X122">
        <v>0.53</v>
      </c>
      <c r="Y122">
        <v>1</v>
      </c>
      <c r="Z122">
        <v>10</v>
      </c>
    </row>
    <row r="123" spans="1:26" x14ac:dyDescent="0.3">
      <c r="A123">
        <v>8</v>
      </c>
      <c r="B123">
        <v>40</v>
      </c>
      <c r="C123" t="s">
        <v>26</v>
      </c>
      <c r="D123">
        <v>6.3628999999999998</v>
      </c>
      <c r="E123">
        <v>15.72</v>
      </c>
      <c r="F123">
        <v>13.29</v>
      </c>
      <c r="G123">
        <v>30.66</v>
      </c>
      <c r="H123">
        <v>0.56999999999999995</v>
      </c>
      <c r="I123">
        <v>26</v>
      </c>
      <c r="J123">
        <v>92.32</v>
      </c>
      <c r="K123">
        <v>37.549999999999997</v>
      </c>
      <c r="L123">
        <v>3</v>
      </c>
      <c r="M123">
        <v>0</v>
      </c>
      <c r="N123">
        <v>11.77</v>
      </c>
      <c r="O123">
        <v>11620.34</v>
      </c>
      <c r="P123">
        <v>89.52</v>
      </c>
      <c r="Q123">
        <v>988.23</v>
      </c>
      <c r="R123">
        <v>53.42</v>
      </c>
      <c r="S123">
        <v>35.43</v>
      </c>
      <c r="T123">
        <v>7891.5</v>
      </c>
      <c r="U123">
        <v>0.66</v>
      </c>
      <c r="V123">
        <v>0.86</v>
      </c>
      <c r="W123">
        <v>3.03</v>
      </c>
      <c r="X123">
        <v>0.53</v>
      </c>
      <c r="Y123">
        <v>1</v>
      </c>
      <c r="Z123">
        <v>10</v>
      </c>
    </row>
    <row r="124" spans="1:26" x14ac:dyDescent="0.3">
      <c r="A124">
        <v>0</v>
      </c>
      <c r="B124">
        <v>125</v>
      </c>
      <c r="C124" t="s">
        <v>26</v>
      </c>
      <c r="D124">
        <v>3.4971999999999999</v>
      </c>
      <c r="E124">
        <v>28.59</v>
      </c>
      <c r="F124">
        <v>16.72</v>
      </c>
      <c r="G124">
        <v>5.2</v>
      </c>
      <c r="H124">
        <v>7.0000000000000007E-2</v>
      </c>
      <c r="I124">
        <v>193</v>
      </c>
      <c r="J124">
        <v>242.64</v>
      </c>
      <c r="K124">
        <v>58.47</v>
      </c>
      <c r="L124">
        <v>1</v>
      </c>
      <c r="M124">
        <v>191</v>
      </c>
      <c r="N124">
        <v>58.17</v>
      </c>
      <c r="O124">
        <v>30160.1</v>
      </c>
      <c r="P124">
        <v>267.77999999999997</v>
      </c>
      <c r="Q124">
        <v>988.72</v>
      </c>
      <c r="R124">
        <v>161.43</v>
      </c>
      <c r="S124">
        <v>35.43</v>
      </c>
      <c r="T124">
        <v>61059.02</v>
      </c>
      <c r="U124">
        <v>0.22</v>
      </c>
      <c r="V124">
        <v>0.68</v>
      </c>
      <c r="W124">
        <v>3.28</v>
      </c>
      <c r="X124">
        <v>3.96</v>
      </c>
      <c r="Y124">
        <v>1</v>
      </c>
      <c r="Z124">
        <v>10</v>
      </c>
    </row>
    <row r="125" spans="1:26" x14ac:dyDescent="0.3">
      <c r="A125">
        <v>1</v>
      </c>
      <c r="B125">
        <v>125</v>
      </c>
      <c r="C125" t="s">
        <v>26</v>
      </c>
      <c r="D125">
        <v>3.9521999999999999</v>
      </c>
      <c r="E125">
        <v>25.3</v>
      </c>
      <c r="F125">
        <v>15.7</v>
      </c>
      <c r="G125">
        <v>6.5</v>
      </c>
      <c r="H125">
        <v>0.09</v>
      </c>
      <c r="I125">
        <v>145</v>
      </c>
      <c r="J125">
        <v>243.08</v>
      </c>
      <c r="K125">
        <v>58.47</v>
      </c>
      <c r="L125">
        <v>1.25</v>
      </c>
      <c r="M125">
        <v>143</v>
      </c>
      <c r="N125">
        <v>58.36</v>
      </c>
      <c r="O125">
        <v>30214.33</v>
      </c>
      <c r="P125">
        <v>250.63</v>
      </c>
      <c r="Q125">
        <v>988.68</v>
      </c>
      <c r="R125">
        <v>129.43</v>
      </c>
      <c r="S125">
        <v>35.43</v>
      </c>
      <c r="T125">
        <v>45300.14</v>
      </c>
      <c r="U125">
        <v>0.27</v>
      </c>
      <c r="V125">
        <v>0.73</v>
      </c>
      <c r="W125">
        <v>3.2</v>
      </c>
      <c r="X125">
        <v>2.94</v>
      </c>
      <c r="Y125">
        <v>1</v>
      </c>
      <c r="Z125">
        <v>10</v>
      </c>
    </row>
    <row r="126" spans="1:26" x14ac:dyDescent="0.3">
      <c r="A126">
        <v>2</v>
      </c>
      <c r="B126">
        <v>125</v>
      </c>
      <c r="C126" t="s">
        <v>26</v>
      </c>
      <c r="D126">
        <v>4.2869000000000002</v>
      </c>
      <c r="E126">
        <v>23.33</v>
      </c>
      <c r="F126">
        <v>15.09</v>
      </c>
      <c r="G126">
        <v>7.81</v>
      </c>
      <c r="H126">
        <v>0.11</v>
      </c>
      <c r="I126">
        <v>116</v>
      </c>
      <c r="J126">
        <v>243.52</v>
      </c>
      <c r="K126">
        <v>58.47</v>
      </c>
      <c r="L126">
        <v>1.5</v>
      </c>
      <c r="M126">
        <v>114</v>
      </c>
      <c r="N126">
        <v>58.55</v>
      </c>
      <c r="O126">
        <v>30268.639999999999</v>
      </c>
      <c r="P126">
        <v>240.13</v>
      </c>
      <c r="Q126">
        <v>988.47</v>
      </c>
      <c r="R126">
        <v>110.41</v>
      </c>
      <c r="S126">
        <v>35.43</v>
      </c>
      <c r="T126">
        <v>35934.83</v>
      </c>
      <c r="U126">
        <v>0.32</v>
      </c>
      <c r="V126">
        <v>0.76</v>
      </c>
      <c r="W126">
        <v>3.15</v>
      </c>
      <c r="X126">
        <v>2.33</v>
      </c>
      <c r="Y126">
        <v>1</v>
      </c>
      <c r="Z126">
        <v>10</v>
      </c>
    </row>
    <row r="127" spans="1:26" x14ac:dyDescent="0.3">
      <c r="A127">
        <v>3</v>
      </c>
      <c r="B127">
        <v>125</v>
      </c>
      <c r="C127" t="s">
        <v>26</v>
      </c>
      <c r="D127">
        <v>4.5370999999999997</v>
      </c>
      <c r="E127">
        <v>22.04</v>
      </c>
      <c r="F127">
        <v>14.7</v>
      </c>
      <c r="G127">
        <v>9.09</v>
      </c>
      <c r="H127">
        <v>0.13</v>
      </c>
      <c r="I127">
        <v>97</v>
      </c>
      <c r="J127">
        <v>243.96</v>
      </c>
      <c r="K127">
        <v>58.47</v>
      </c>
      <c r="L127">
        <v>1.75</v>
      </c>
      <c r="M127">
        <v>95</v>
      </c>
      <c r="N127">
        <v>58.74</v>
      </c>
      <c r="O127">
        <v>30323.01</v>
      </c>
      <c r="P127">
        <v>233.16</v>
      </c>
      <c r="Q127">
        <v>988.37</v>
      </c>
      <c r="R127">
        <v>98.31</v>
      </c>
      <c r="S127">
        <v>35.43</v>
      </c>
      <c r="T127">
        <v>29978.81</v>
      </c>
      <c r="U127">
        <v>0.36</v>
      </c>
      <c r="V127">
        <v>0.78</v>
      </c>
      <c r="W127">
        <v>3.12</v>
      </c>
      <c r="X127">
        <v>1.94</v>
      </c>
      <c r="Y127">
        <v>1</v>
      </c>
      <c r="Z127">
        <v>10</v>
      </c>
    </row>
    <row r="128" spans="1:26" x14ac:dyDescent="0.3">
      <c r="A128">
        <v>4</v>
      </c>
      <c r="B128">
        <v>125</v>
      </c>
      <c r="C128" t="s">
        <v>26</v>
      </c>
      <c r="D128">
        <v>4.7450999999999999</v>
      </c>
      <c r="E128">
        <v>21.07</v>
      </c>
      <c r="F128">
        <v>14.4</v>
      </c>
      <c r="G128">
        <v>10.41</v>
      </c>
      <c r="H128">
        <v>0.15</v>
      </c>
      <c r="I128">
        <v>83</v>
      </c>
      <c r="J128">
        <v>244.41</v>
      </c>
      <c r="K128">
        <v>58.47</v>
      </c>
      <c r="L128">
        <v>2</v>
      </c>
      <c r="M128">
        <v>81</v>
      </c>
      <c r="N128">
        <v>58.93</v>
      </c>
      <c r="O128">
        <v>30377.45</v>
      </c>
      <c r="P128">
        <v>227.64</v>
      </c>
      <c r="Q128">
        <v>988.54</v>
      </c>
      <c r="R128">
        <v>89.02</v>
      </c>
      <c r="S128">
        <v>35.43</v>
      </c>
      <c r="T128">
        <v>25405.74</v>
      </c>
      <c r="U128">
        <v>0.4</v>
      </c>
      <c r="V128">
        <v>0.79</v>
      </c>
      <c r="W128">
        <v>3.09</v>
      </c>
      <c r="X128">
        <v>1.64</v>
      </c>
      <c r="Y128">
        <v>1</v>
      </c>
      <c r="Z128">
        <v>10</v>
      </c>
    </row>
    <row r="129" spans="1:26" x14ac:dyDescent="0.3">
      <c r="A129">
        <v>5</v>
      </c>
      <c r="B129">
        <v>125</v>
      </c>
      <c r="C129" t="s">
        <v>26</v>
      </c>
      <c r="D129">
        <v>4.9001000000000001</v>
      </c>
      <c r="E129">
        <v>20.41</v>
      </c>
      <c r="F129">
        <v>14.2</v>
      </c>
      <c r="G129">
        <v>11.67</v>
      </c>
      <c r="H129">
        <v>0.16</v>
      </c>
      <c r="I129">
        <v>73</v>
      </c>
      <c r="J129">
        <v>244.85</v>
      </c>
      <c r="K129">
        <v>58.47</v>
      </c>
      <c r="L129">
        <v>2.25</v>
      </c>
      <c r="M129">
        <v>71</v>
      </c>
      <c r="N129">
        <v>59.12</v>
      </c>
      <c r="O129">
        <v>30431.96</v>
      </c>
      <c r="P129">
        <v>223.8</v>
      </c>
      <c r="Q129">
        <v>988.18</v>
      </c>
      <c r="R129">
        <v>83.03</v>
      </c>
      <c r="S129">
        <v>35.43</v>
      </c>
      <c r="T129">
        <v>22459.11</v>
      </c>
      <c r="U129">
        <v>0.43</v>
      </c>
      <c r="V129">
        <v>0.8</v>
      </c>
      <c r="W129">
        <v>3.08</v>
      </c>
      <c r="X129">
        <v>1.45</v>
      </c>
      <c r="Y129">
        <v>1</v>
      </c>
      <c r="Z129">
        <v>10</v>
      </c>
    </row>
    <row r="130" spans="1:26" x14ac:dyDescent="0.3">
      <c r="A130">
        <v>6</v>
      </c>
      <c r="B130">
        <v>125</v>
      </c>
      <c r="C130" t="s">
        <v>26</v>
      </c>
      <c r="D130">
        <v>5.0496999999999996</v>
      </c>
      <c r="E130">
        <v>19.8</v>
      </c>
      <c r="F130">
        <v>14.02</v>
      </c>
      <c r="G130">
        <v>13.15</v>
      </c>
      <c r="H130">
        <v>0.18</v>
      </c>
      <c r="I130">
        <v>64</v>
      </c>
      <c r="J130">
        <v>245.29</v>
      </c>
      <c r="K130">
        <v>58.47</v>
      </c>
      <c r="L130">
        <v>2.5</v>
      </c>
      <c r="M130">
        <v>62</v>
      </c>
      <c r="N130">
        <v>59.32</v>
      </c>
      <c r="O130">
        <v>30486.54</v>
      </c>
      <c r="P130">
        <v>220.13</v>
      </c>
      <c r="Q130">
        <v>988.19</v>
      </c>
      <c r="R130">
        <v>77.010000000000005</v>
      </c>
      <c r="S130">
        <v>35.43</v>
      </c>
      <c r="T130">
        <v>19494.560000000001</v>
      </c>
      <c r="U130">
        <v>0.46</v>
      </c>
      <c r="V130">
        <v>0.81</v>
      </c>
      <c r="W130">
        <v>3.08</v>
      </c>
      <c r="X130">
        <v>1.27</v>
      </c>
      <c r="Y130">
        <v>1</v>
      </c>
      <c r="Z130">
        <v>10</v>
      </c>
    </row>
    <row r="131" spans="1:26" x14ac:dyDescent="0.3">
      <c r="A131">
        <v>7</v>
      </c>
      <c r="B131">
        <v>125</v>
      </c>
      <c r="C131" t="s">
        <v>26</v>
      </c>
      <c r="D131">
        <v>5.1555999999999997</v>
      </c>
      <c r="E131">
        <v>19.399999999999999</v>
      </c>
      <c r="F131">
        <v>13.9</v>
      </c>
      <c r="G131">
        <v>14.38</v>
      </c>
      <c r="H131">
        <v>0.2</v>
      </c>
      <c r="I131">
        <v>58</v>
      </c>
      <c r="J131">
        <v>245.73</v>
      </c>
      <c r="K131">
        <v>58.47</v>
      </c>
      <c r="L131">
        <v>2.75</v>
      </c>
      <c r="M131">
        <v>56</v>
      </c>
      <c r="N131">
        <v>59.51</v>
      </c>
      <c r="O131">
        <v>30541.19</v>
      </c>
      <c r="P131">
        <v>217.67</v>
      </c>
      <c r="Q131">
        <v>988.17</v>
      </c>
      <c r="R131">
        <v>73.22</v>
      </c>
      <c r="S131">
        <v>35.43</v>
      </c>
      <c r="T131">
        <v>17630.990000000002</v>
      </c>
      <c r="U131">
        <v>0.48</v>
      </c>
      <c r="V131">
        <v>0.82</v>
      </c>
      <c r="W131">
        <v>3.06</v>
      </c>
      <c r="X131">
        <v>1.1499999999999999</v>
      </c>
      <c r="Y131">
        <v>1</v>
      </c>
      <c r="Z131">
        <v>10</v>
      </c>
    </row>
    <row r="132" spans="1:26" x14ac:dyDescent="0.3">
      <c r="A132">
        <v>8</v>
      </c>
      <c r="B132">
        <v>125</v>
      </c>
      <c r="C132" t="s">
        <v>26</v>
      </c>
      <c r="D132">
        <v>5.2446999999999999</v>
      </c>
      <c r="E132">
        <v>19.07</v>
      </c>
      <c r="F132">
        <v>13.81</v>
      </c>
      <c r="G132">
        <v>15.63</v>
      </c>
      <c r="H132">
        <v>0.22</v>
      </c>
      <c r="I132">
        <v>53</v>
      </c>
      <c r="J132">
        <v>246.18</v>
      </c>
      <c r="K132">
        <v>58.47</v>
      </c>
      <c r="L132">
        <v>3</v>
      </c>
      <c r="M132">
        <v>51</v>
      </c>
      <c r="N132">
        <v>59.7</v>
      </c>
      <c r="O132">
        <v>30595.91</v>
      </c>
      <c r="P132">
        <v>215.44</v>
      </c>
      <c r="Q132">
        <v>988.22</v>
      </c>
      <c r="R132">
        <v>70.31</v>
      </c>
      <c r="S132">
        <v>35.43</v>
      </c>
      <c r="T132">
        <v>16202.32</v>
      </c>
      <c r="U132">
        <v>0.5</v>
      </c>
      <c r="V132">
        <v>0.83</v>
      </c>
      <c r="W132">
        <v>3.06</v>
      </c>
      <c r="X132">
        <v>1.05</v>
      </c>
      <c r="Y132">
        <v>1</v>
      </c>
      <c r="Z132">
        <v>10</v>
      </c>
    </row>
    <row r="133" spans="1:26" x14ac:dyDescent="0.3">
      <c r="A133">
        <v>9</v>
      </c>
      <c r="B133">
        <v>125</v>
      </c>
      <c r="C133" t="s">
        <v>26</v>
      </c>
      <c r="D133">
        <v>5.343</v>
      </c>
      <c r="E133">
        <v>18.72</v>
      </c>
      <c r="F133">
        <v>13.69</v>
      </c>
      <c r="G133">
        <v>17.12</v>
      </c>
      <c r="H133">
        <v>0.23</v>
      </c>
      <c r="I133">
        <v>48</v>
      </c>
      <c r="J133">
        <v>246.62</v>
      </c>
      <c r="K133">
        <v>58.47</v>
      </c>
      <c r="L133">
        <v>3.25</v>
      </c>
      <c r="M133">
        <v>46</v>
      </c>
      <c r="N133">
        <v>59.9</v>
      </c>
      <c r="O133">
        <v>30650.7</v>
      </c>
      <c r="P133">
        <v>212.85</v>
      </c>
      <c r="Q133">
        <v>988.14</v>
      </c>
      <c r="R133">
        <v>66.97</v>
      </c>
      <c r="S133">
        <v>35.43</v>
      </c>
      <c r="T133">
        <v>14558.54</v>
      </c>
      <c r="U133">
        <v>0.53</v>
      </c>
      <c r="V133">
        <v>0.83</v>
      </c>
      <c r="W133">
        <v>3.04</v>
      </c>
      <c r="X133">
        <v>0.94</v>
      </c>
      <c r="Y133">
        <v>1</v>
      </c>
      <c r="Z133">
        <v>10</v>
      </c>
    </row>
    <row r="134" spans="1:26" x14ac:dyDescent="0.3">
      <c r="A134">
        <v>10</v>
      </c>
      <c r="B134">
        <v>125</v>
      </c>
      <c r="C134" t="s">
        <v>26</v>
      </c>
      <c r="D134">
        <v>5.4009</v>
      </c>
      <c r="E134">
        <v>18.52</v>
      </c>
      <c r="F134">
        <v>13.63</v>
      </c>
      <c r="G134">
        <v>18.18</v>
      </c>
      <c r="H134">
        <v>0.25</v>
      </c>
      <c r="I134">
        <v>45</v>
      </c>
      <c r="J134">
        <v>247.07</v>
      </c>
      <c r="K134">
        <v>58.47</v>
      </c>
      <c r="L134">
        <v>3.5</v>
      </c>
      <c r="M134">
        <v>43</v>
      </c>
      <c r="N134">
        <v>60.09</v>
      </c>
      <c r="O134">
        <v>30705.56</v>
      </c>
      <c r="P134">
        <v>211.19</v>
      </c>
      <c r="Q134">
        <v>988.19</v>
      </c>
      <c r="R134">
        <v>65.11</v>
      </c>
      <c r="S134">
        <v>35.43</v>
      </c>
      <c r="T134">
        <v>13638.64</v>
      </c>
      <c r="U134">
        <v>0.54</v>
      </c>
      <c r="V134">
        <v>0.84</v>
      </c>
      <c r="W134">
        <v>3.03</v>
      </c>
      <c r="X134">
        <v>0.88</v>
      </c>
      <c r="Y134">
        <v>1</v>
      </c>
      <c r="Z134">
        <v>10</v>
      </c>
    </row>
    <row r="135" spans="1:26" x14ac:dyDescent="0.3">
      <c r="A135">
        <v>11</v>
      </c>
      <c r="B135">
        <v>125</v>
      </c>
      <c r="C135" t="s">
        <v>26</v>
      </c>
      <c r="D135">
        <v>5.4760999999999997</v>
      </c>
      <c r="E135">
        <v>18.260000000000002</v>
      </c>
      <c r="F135">
        <v>13.57</v>
      </c>
      <c r="G135">
        <v>19.86</v>
      </c>
      <c r="H135">
        <v>0.27</v>
      </c>
      <c r="I135">
        <v>41</v>
      </c>
      <c r="J135">
        <v>247.51</v>
      </c>
      <c r="K135">
        <v>58.47</v>
      </c>
      <c r="L135">
        <v>3.75</v>
      </c>
      <c r="M135">
        <v>39</v>
      </c>
      <c r="N135">
        <v>60.29</v>
      </c>
      <c r="O135">
        <v>30760.49</v>
      </c>
      <c r="P135">
        <v>209.54</v>
      </c>
      <c r="Q135">
        <v>988.12</v>
      </c>
      <c r="R135">
        <v>62.7</v>
      </c>
      <c r="S135">
        <v>35.43</v>
      </c>
      <c r="T135">
        <v>12458.49</v>
      </c>
      <c r="U135">
        <v>0.56999999999999995</v>
      </c>
      <c r="V135">
        <v>0.84</v>
      </c>
      <c r="W135">
        <v>3.04</v>
      </c>
      <c r="X135">
        <v>0.81</v>
      </c>
      <c r="Y135">
        <v>1</v>
      </c>
      <c r="Z135">
        <v>10</v>
      </c>
    </row>
    <row r="136" spans="1:26" x14ac:dyDescent="0.3">
      <c r="A136">
        <v>12</v>
      </c>
      <c r="B136">
        <v>125</v>
      </c>
      <c r="C136" t="s">
        <v>26</v>
      </c>
      <c r="D136">
        <v>5.5221</v>
      </c>
      <c r="E136">
        <v>18.11</v>
      </c>
      <c r="F136">
        <v>13.51</v>
      </c>
      <c r="G136">
        <v>20.79</v>
      </c>
      <c r="H136">
        <v>0.28999999999999998</v>
      </c>
      <c r="I136">
        <v>39</v>
      </c>
      <c r="J136">
        <v>247.96</v>
      </c>
      <c r="K136">
        <v>58.47</v>
      </c>
      <c r="L136">
        <v>4</v>
      </c>
      <c r="M136">
        <v>37</v>
      </c>
      <c r="N136">
        <v>60.48</v>
      </c>
      <c r="O136">
        <v>30815.5</v>
      </c>
      <c r="P136">
        <v>207.88</v>
      </c>
      <c r="Q136">
        <v>988.22</v>
      </c>
      <c r="R136">
        <v>61.36</v>
      </c>
      <c r="S136">
        <v>35.43</v>
      </c>
      <c r="T136">
        <v>11798.29</v>
      </c>
      <c r="U136">
        <v>0.57999999999999996</v>
      </c>
      <c r="V136">
        <v>0.84</v>
      </c>
      <c r="W136">
        <v>3.02</v>
      </c>
      <c r="X136">
        <v>0.76</v>
      </c>
      <c r="Y136">
        <v>1</v>
      </c>
      <c r="Z136">
        <v>10</v>
      </c>
    </row>
    <row r="137" spans="1:26" x14ac:dyDescent="0.3">
      <c r="A137">
        <v>13</v>
      </c>
      <c r="B137">
        <v>125</v>
      </c>
      <c r="C137" t="s">
        <v>26</v>
      </c>
      <c r="D137">
        <v>5.5864000000000003</v>
      </c>
      <c r="E137">
        <v>17.899999999999999</v>
      </c>
      <c r="F137">
        <v>13.44</v>
      </c>
      <c r="G137">
        <v>22.41</v>
      </c>
      <c r="H137">
        <v>0.3</v>
      </c>
      <c r="I137">
        <v>36</v>
      </c>
      <c r="J137">
        <v>248.4</v>
      </c>
      <c r="K137">
        <v>58.47</v>
      </c>
      <c r="L137">
        <v>4.25</v>
      </c>
      <c r="M137">
        <v>34</v>
      </c>
      <c r="N137">
        <v>60.68</v>
      </c>
      <c r="O137">
        <v>30870.57</v>
      </c>
      <c r="P137">
        <v>206.06</v>
      </c>
      <c r="Q137">
        <v>988.28</v>
      </c>
      <c r="R137">
        <v>59.01</v>
      </c>
      <c r="S137">
        <v>35.43</v>
      </c>
      <c r="T137">
        <v>10637.62</v>
      </c>
      <c r="U137">
        <v>0.6</v>
      </c>
      <c r="V137">
        <v>0.85</v>
      </c>
      <c r="W137">
        <v>3.02</v>
      </c>
      <c r="X137">
        <v>0.69</v>
      </c>
      <c r="Y137">
        <v>1</v>
      </c>
      <c r="Z137">
        <v>10</v>
      </c>
    </row>
    <row r="138" spans="1:26" x14ac:dyDescent="0.3">
      <c r="A138">
        <v>14</v>
      </c>
      <c r="B138">
        <v>125</v>
      </c>
      <c r="C138" t="s">
        <v>26</v>
      </c>
      <c r="D138">
        <v>5.6223999999999998</v>
      </c>
      <c r="E138">
        <v>17.79</v>
      </c>
      <c r="F138">
        <v>13.42</v>
      </c>
      <c r="G138">
        <v>23.69</v>
      </c>
      <c r="H138">
        <v>0.32</v>
      </c>
      <c r="I138">
        <v>34</v>
      </c>
      <c r="J138">
        <v>248.85</v>
      </c>
      <c r="K138">
        <v>58.47</v>
      </c>
      <c r="L138">
        <v>4.5</v>
      </c>
      <c r="M138">
        <v>32</v>
      </c>
      <c r="N138">
        <v>60.88</v>
      </c>
      <c r="O138">
        <v>30925.72</v>
      </c>
      <c r="P138">
        <v>205.15</v>
      </c>
      <c r="Q138">
        <v>988.13</v>
      </c>
      <c r="R138">
        <v>58.43</v>
      </c>
      <c r="S138">
        <v>35.43</v>
      </c>
      <c r="T138">
        <v>10356.32</v>
      </c>
      <c r="U138">
        <v>0.61</v>
      </c>
      <c r="V138">
        <v>0.85</v>
      </c>
      <c r="W138">
        <v>3.02</v>
      </c>
      <c r="X138">
        <v>0.67</v>
      </c>
      <c r="Y138">
        <v>1</v>
      </c>
      <c r="Z138">
        <v>10</v>
      </c>
    </row>
    <row r="139" spans="1:26" x14ac:dyDescent="0.3">
      <c r="A139">
        <v>15</v>
      </c>
      <c r="B139">
        <v>125</v>
      </c>
      <c r="C139" t="s">
        <v>26</v>
      </c>
      <c r="D139">
        <v>5.6654</v>
      </c>
      <c r="E139">
        <v>17.649999999999999</v>
      </c>
      <c r="F139">
        <v>13.38</v>
      </c>
      <c r="G139">
        <v>25.09</v>
      </c>
      <c r="H139">
        <v>0.34</v>
      </c>
      <c r="I139">
        <v>32</v>
      </c>
      <c r="J139">
        <v>249.3</v>
      </c>
      <c r="K139">
        <v>58.47</v>
      </c>
      <c r="L139">
        <v>4.75</v>
      </c>
      <c r="M139">
        <v>30</v>
      </c>
      <c r="N139">
        <v>61.07</v>
      </c>
      <c r="O139">
        <v>30980.93</v>
      </c>
      <c r="P139">
        <v>203.61</v>
      </c>
      <c r="Q139">
        <v>988.11</v>
      </c>
      <c r="R139">
        <v>57.21</v>
      </c>
      <c r="S139">
        <v>35.43</v>
      </c>
      <c r="T139">
        <v>9755.2800000000007</v>
      </c>
      <c r="U139">
        <v>0.62</v>
      </c>
      <c r="V139">
        <v>0.85</v>
      </c>
      <c r="W139">
        <v>3.02</v>
      </c>
      <c r="X139">
        <v>0.63</v>
      </c>
      <c r="Y139">
        <v>1</v>
      </c>
      <c r="Z139">
        <v>10</v>
      </c>
    </row>
    <row r="140" spans="1:26" x14ac:dyDescent="0.3">
      <c r="A140">
        <v>16</v>
      </c>
      <c r="B140">
        <v>125</v>
      </c>
      <c r="C140" t="s">
        <v>26</v>
      </c>
      <c r="D140">
        <v>5.7133000000000003</v>
      </c>
      <c r="E140">
        <v>17.5</v>
      </c>
      <c r="F140">
        <v>13.33</v>
      </c>
      <c r="G140">
        <v>26.66</v>
      </c>
      <c r="H140">
        <v>0.36</v>
      </c>
      <c r="I140">
        <v>30</v>
      </c>
      <c r="J140">
        <v>249.75</v>
      </c>
      <c r="K140">
        <v>58.47</v>
      </c>
      <c r="L140">
        <v>5</v>
      </c>
      <c r="M140">
        <v>28</v>
      </c>
      <c r="N140">
        <v>61.27</v>
      </c>
      <c r="O140">
        <v>31036.22</v>
      </c>
      <c r="P140">
        <v>202.19</v>
      </c>
      <c r="Q140">
        <v>988.2</v>
      </c>
      <c r="R140">
        <v>55.71</v>
      </c>
      <c r="S140">
        <v>35.43</v>
      </c>
      <c r="T140">
        <v>9017.67</v>
      </c>
      <c r="U140">
        <v>0.64</v>
      </c>
      <c r="V140">
        <v>0.86</v>
      </c>
      <c r="W140">
        <v>3.01</v>
      </c>
      <c r="X140">
        <v>0.57999999999999996</v>
      </c>
      <c r="Y140">
        <v>1</v>
      </c>
      <c r="Z140">
        <v>10</v>
      </c>
    </row>
    <row r="141" spans="1:26" x14ac:dyDescent="0.3">
      <c r="A141">
        <v>17</v>
      </c>
      <c r="B141">
        <v>125</v>
      </c>
      <c r="C141" t="s">
        <v>26</v>
      </c>
      <c r="D141">
        <v>5.7332000000000001</v>
      </c>
      <c r="E141">
        <v>17.440000000000001</v>
      </c>
      <c r="F141">
        <v>13.32</v>
      </c>
      <c r="G141">
        <v>27.55</v>
      </c>
      <c r="H141">
        <v>0.37</v>
      </c>
      <c r="I141">
        <v>29</v>
      </c>
      <c r="J141">
        <v>250.2</v>
      </c>
      <c r="K141">
        <v>58.47</v>
      </c>
      <c r="L141">
        <v>5.25</v>
      </c>
      <c r="M141">
        <v>27</v>
      </c>
      <c r="N141">
        <v>61.47</v>
      </c>
      <c r="O141">
        <v>31091.59</v>
      </c>
      <c r="P141">
        <v>201.32</v>
      </c>
      <c r="Q141">
        <v>988.14</v>
      </c>
      <c r="R141">
        <v>55.25</v>
      </c>
      <c r="S141">
        <v>35.43</v>
      </c>
      <c r="T141">
        <v>8789.64</v>
      </c>
      <c r="U141">
        <v>0.64</v>
      </c>
      <c r="V141">
        <v>0.86</v>
      </c>
      <c r="W141">
        <v>3.01</v>
      </c>
      <c r="X141">
        <v>0.56000000000000005</v>
      </c>
      <c r="Y141">
        <v>1</v>
      </c>
      <c r="Z141">
        <v>10</v>
      </c>
    </row>
    <row r="142" spans="1:26" x14ac:dyDescent="0.3">
      <c r="A142">
        <v>18</v>
      </c>
      <c r="B142">
        <v>125</v>
      </c>
      <c r="C142" t="s">
        <v>26</v>
      </c>
      <c r="D142">
        <v>5.7762000000000002</v>
      </c>
      <c r="E142">
        <v>17.309999999999999</v>
      </c>
      <c r="F142">
        <v>13.28</v>
      </c>
      <c r="G142">
        <v>29.51</v>
      </c>
      <c r="H142">
        <v>0.39</v>
      </c>
      <c r="I142">
        <v>27</v>
      </c>
      <c r="J142">
        <v>250.64</v>
      </c>
      <c r="K142">
        <v>58.47</v>
      </c>
      <c r="L142">
        <v>5.5</v>
      </c>
      <c r="M142">
        <v>25</v>
      </c>
      <c r="N142">
        <v>61.67</v>
      </c>
      <c r="O142">
        <v>31147.02</v>
      </c>
      <c r="P142">
        <v>199.82</v>
      </c>
      <c r="Q142">
        <v>988.15</v>
      </c>
      <c r="R142">
        <v>54.31</v>
      </c>
      <c r="S142">
        <v>35.43</v>
      </c>
      <c r="T142">
        <v>8332.4699999999993</v>
      </c>
      <c r="U142">
        <v>0.65</v>
      </c>
      <c r="V142">
        <v>0.86</v>
      </c>
      <c r="W142">
        <v>3</v>
      </c>
      <c r="X142">
        <v>0.53</v>
      </c>
      <c r="Y142">
        <v>1</v>
      </c>
      <c r="Z142">
        <v>10</v>
      </c>
    </row>
    <row r="143" spans="1:26" x14ac:dyDescent="0.3">
      <c r="A143">
        <v>19</v>
      </c>
      <c r="B143">
        <v>125</v>
      </c>
      <c r="C143" t="s">
        <v>26</v>
      </c>
      <c r="D143">
        <v>5.8029000000000002</v>
      </c>
      <c r="E143">
        <v>17.23</v>
      </c>
      <c r="F143">
        <v>13.25</v>
      </c>
      <c r="G143">
        <v>30.57</v>
      </c>
      <c r="H143">
        <v>0.41</v>
      </c>
      <c r="I143">
        <v>26</v>
      </c>
      <c r="J143">
        <v>251.09</v>
      </c>
      <c r="K143">
        <v>58.47</v>
      </c>
      <c r="L143">
        <v>5.75</v>
      </c>
      <c r="M143">
        <v>24</v>
      </c>
      <c r="N143">
        <v>61.87</v>
      </c>
      <c r="O143">
        <v>31202.53</v>
      </c>
      <c r="P143">
        <v>198.7</v>
      </c>
      <c r="Q143">
        <v>988.18</v>
      </c>
      <c r="R143">
        <v>53.1</v>
      </c>
      <c r="S143">
        <v>35.43</v>
      </c>
      <c r="T143">
        <v>7730.9</v>
      </c>
      <c r="U143">
        <v>0.67</v>
      </c>
      <c r="V143">
        <v>0.86</v>
      </c>
      <c r="W143">
        <v>3.01</v>
      </c>
      <c r="X143">
        <v>0.49</v>
      </c>
      <c r="Y143">
        <v>1</v>
      </c>
      <c r="Z143">
        <v>10</v>
      </c>
    </row>
    <row r="144" spans="1:26" x14ac:dyDescent="0.3">
      <c r="A144">
        <v>20</v>
      </c>
      <c r="B144">
        <v>125</v>
      </c>
      <c r="C144" t="s">
        <v>26</v>
      </c>
      <c r="D144">
        <v>5.8228</v>
      </c>
      <c r="E144">
        <v>17.170000000000002</v>
      </c>
      <c r="F144">
        <v>13.24</v>
      </c>
      <c r="G144">
        <v>31.77</v>
      </c>
      <c r="H144">
        <v>0.42</v>
      </c>
      <c r="I144">
        <v>25</v>
      </c>
      <c r="J144">
        <v>251.55</v>
      </c>
      <c r="K144">
        <v>58.47</v>
      </c>
      <c r="L144">
        <v>6</v>
      </c>
      <c r="M144">
        <v>23</v>
      </c>
      <c r="N144">
        <v>62.07</v>
      </c>
      <c r="O144">
        <v>31258.11</v>
      </c>
      <c r="P144">
        <v>197.83</v>
      </c>
      <c r="Q144">
        <v>988.25</v>
      </c>
      <c r="R144">
        <v>52.85</v>
      </c>
      <c r="S144">
        <v>35.43</v>
      </c>
      <c r="T144">
        <v>7608.67</v>
      </c>
      <c r="U144">
        <v>0.67</v>
      </c>
      <c r="V144">
        <v>0.86</v>
      </c>
      <c r="W144">
        <v>3</v>
      </c>
      <c r="X144">
        <v>0.48</v>
      </c>
      <c r="Y144">
        <v>1</v>
      </c>
      <c r="Z144">
        <v>10</v>
      </c>
    </row>
    <row r="145" spans="1:26" x14ac:dyDescent="0.3">
      <c r="A145">
        <v>21</v>
      </c>
      <c r="B145">
        <v>125</v>
      </c>
      <c r="C145" t="s">
        <v>26</v>
      </c>
      <c r="D145">
        <v>5.8517000000000001</v>
      </c>
      <c r="E145">
        <v>17.09</v>
      </c>
      <c r="F145">
        <v>13.2</v>
      </c>
      <c r="G145">
        <v>33</v>
      </c>
      <c r="H145">
        <v>0.44</v>
      </c>
      <c r="I145">
        <v>24</v>
      </c>
      <c r="J145">
        <v>252</v>
      </c>
      <c r="K145">
        <v>58.47</v>
      </c>
      <c r="L145">
        <v>6.25</v>
      </c>
      <c r="M145">
        <v>22</v>
      </c>
      <c r="N145">
        <v>62.27</v>
      </c>
      <c r="O145">
        <v>31313.77</v>
      </c>
      <c r="P145">
        <v>196.42</v>
      </c>
      <c r="Q145">
        <v>988.09</v>
      </c>
      <c r="R145">
        <v>51.63</v>
      </c>
      <c r="S145">
        <v>35.43</v>
      </c>
      <c r="T145">
        <v>7007.37</v>
      </c>
      <c r="U145">
        <v>0.69</v>
      </c>
      <c r="V145">
        <v>0.86</v>
      </c>
      <c r="W145">
        <v>3</v>
      </c>
      <c r="X145">
        <v>0.45</v>
      </c>
      <c r="Y145">
        <v>1</v>
      </c>
      <c r="Z145">
        <v>10</v>
      </c>
    </row>
    <row r="146" spans="1:26" x14ac:dyDescent="0.3">
      <c r="A146">
        <v>22</v>
      </c>
      <c r="B146">
        <v>125</v>
      </c>
      <c r="C146" t="s">
        <v>26</v>
      </c>
      <c r="D146">
        <v>5.8715999999999999</v>
      </c>
      <c r="E146">
        <v>17.03</v>
      </c>
      <c r="F146">
        <v>13.19</v>
      </c>
      <c r="G146">
        <v>34.4</v>
      </c>
      <c r="H146">
        <v>0.46</v>
      </c>
      <c r="I146">
        <v>23</v>
      </c>
      <c r="J146">
        <v>252.45</v>
      </c>
      <c r="K146">
        <v>58.47</v>
      </c>
      <c r="L146">
        <v>6.5</v>
      </c>
      <c r="M146">
        <v>21</v>
      </c>
      <c r="N146">
        <v>62.47</v>
      </c>
      <c r="O146">
        <v>31369.49</v>
      </c>
      <c r="P146">
        <v>195.63</v>
      </c>
      <c r="Q146">
        <v>988.1</v>
      </c>
      <c r="R146">
        <v>51.27</v>
      </c>
      <c r="S146">
        <v>35.43</v>
      </c>
      <c r="T146">
        <v>6829.29</v>
      </c>
      <c r="U146">
        <v>0.69</v>
      </c>
      <c r="V146">
        <v>0.86</v>
      </c>
      <c r="W146">
        <v>3</v>
      </c>
      <c r="X146">
        <v>0.43</v>
      </c>
      <c r="Y146">
        <v>1</v>
      </c>
      <c r="Z146">
        <v>10</v>
      </c>
    </row>
    <row r="147" spans="1:26" x14ac:dyDescent="0.3">
      <c r="A147">
        <v>23</v>
      </c>
      <c r="B147">
        <v>125</v>
      </c>
      <c r="C147" t="s">
        <v>26</v>
      </c>
      <c r="D147">
        <v>5.8951000000000002</v>
      </c>
      <c r="E147">
        <v>16.96</v>
      </c>
      <c r="F147">
        <v>13.17</v>
      </c>
      <c r="G147">
        <v>35.909999999999997</v>
      </c>
      <c r="H147">
        <v>0.47</v>
      </c>
      <c r="I147">
        <v>22</v>
      </c>
      <c r="J147">
        <v>252.9</v>
      </c>
      <c r="K147">
        <v>58.47</v>
      </c>
      <c r="L147">
        <v>6.75</v>
      </c>
      <c r="M147">
        <v>20</v>
      </c>
      <c r="N147">
        <v>62.68</v>
      </c>
      <c r="O147">
        <v>31425.3</v>
      </c>
      <c r="P147">
        <v>194.64</v>
      </c>
      <c r="Q147">
        <v>988.12</v>
      </c>
      <c r="R147">
        <v>50.67</v>
      </c>
      <c r="S147">
        <v>35.43</v>
      </c>
      <c r="T147">
        <v>6536.69</v>
      </c>
      <c r="U147">
        <v>0.7</v>
      </c>
      <c r="V147">
        <v>0.87</v>
      </c>
      <c r="W147">
        <v>3</v>
      </c>
      <c r="X147">
        <v>0.41</v>
      </c>
      <c r="Y147">
        <v>1</v>
      </c>
      <c r="Z147">
        <v>10</v>
      </c>
    </row>
    <row r="148" spans="1:26" x14ac:dyDescent="0.3">
      <c r="A148">
        <v>24</v>
      </c>
      <c r="B148">
        <v>125</v>
      </c>
      <c r="C148" t="s">
        <v>26</v>
      </c>
      <c r="D148">
        <v>5.9145000000000003</v>
      </c>
      <c r="E148">
        <v>16.91</v>
      </c>
      <c r="F148">
        <v>13.16</v>
      </c>
      <c r="G148">
        <v>37.6</v>
      </c>
      <c r="H148">
        <v>0.49</v>
      </c>
      <c r="I148">
        <v>21</v>
      </c>
      <c r="J148">
        <v>253.35</v>
      </c>
      <c r="K148">
        <v>58.47</v>
      </c>
      <c r="L148">
        <v>7</v>
      </c>
      <c r="M148">
        <v>19</v>
      </c>
      <c r="N148">
        <v>62.88</v>
      </c>
      <c r="O148">
        <v>31481.17</v>
      </c>
      <c r="P148">
        <v>193.73</v>
      </c>
      <c r="Q148">
        <v>988.18</v>
      </c>
      <c r="R148">
        <v>50.26</v>
      </c>
      <c r="S148">
        <v>35.43</v>
      </c>
      <c r="T148">
        <v>6334.99</v>
      </c>
      <c r="U148">
        <v>0.71</v>
      </c>
      <c r="V148">
        <v>0.87</v>
      </c>
      <c r="W148">
        <v>3</v>
      </c>
      <c r="X148">
        <v>0.4</v>
      </c>
      <c r="Y148">
        <v>1</v>
      </c>
      <c r="Z148">
        <v>10</v>
      </c>
    </row>
    <row r="149" spans="1:26" x14ac:dyDescent="0.3">
      <c r="A149">
        <v>25</v>
      </c>
      <c r="B149">
        <v>125</v>
      </c>
      <c r="C149" t="s">
        <v>26</v>
      </c>
      <c r="D149">
        <v>5.9394999999999998</v>
      </c>
      <c r="E149">
        <v>16.84</v>
      </c>
      <c r="F149">
        <v>13.13</v>
      </c>
      <c r="G149">
        <v>39.409999999999997</v>
      </c>
      <c r="H149">
        <v>0.51</v>
      </c>
      <c r="I149">
        <v>20</v>
      </c>
      <c r="J149">
        <v>253.81</v>
      </c>
      <c r="K149">
        <v>58.47</v>
      </c>
      <c r="L149">
        <v>7.25</v>
      </c>
      <c r="M149">
        <v>18</v>
      </c>
      <c r="N149">
        <v>63.08</v>
      </c>
      <c r="O149">
        <v>31537.13</v>
      </c>
      <c r="P149">
        <v>192.51</v>
      </c>
      <c r="Q149">
        <v>988.15</v>
      </c>
      <c r="R149">
        <v>49.5</v>
      </c>
      <c r="S149">
        <v>35.43</v>
      </c>
      <c r="T149">
        <v>5958.65</v>
      </c>
      <c r="U149">
        <v>0.72</v>
      </c>
      <c r="V149">
        <v>0.87</v>
      </c>
      <c r="W149">
        <v>3</v>
      </c>
      <c r="X149">
        <v>0.38</v>
      </c>
      <c r="Y149">
        <v>1</v>
      </c>
      <c r="Z149">
        <v>10</v>
      </c>
    </row>
    <row r="150" spans="1:26" x14ac:dyDescent="0.3">
      <c r="A150">
        <v>26</v>
      </c>
      <c r="B150">
        <v>125</v>
      </c>
      <c r="C150" t="s">
        <v>26</v>
      </c>
      <c r="D150">
        <v>5.9432</v>
      </c>
      <c r="E150">
        <v>16.829999999999998</v>
      </c>
      <c r="F150">
        <v>13.12</v>
      </c>
      <c r="G150">
        <v>39.369999999999997</v>
      </c>
      <c r="H150">
        <v>0.52</v>
      </c>
      <c r="I150">
        <v>20</v>
      </c>
      <c r="J150">
        <v>254.26</v>
      </c>
      <c r="K150">
        <v>58.47</v>
      </c>
      <c r="L150">
        <v>7.5</v>
      </c>
      <c r="M150">
        <v>18</v>
      </c>
      <c r="N150">
        <v>63.29</v>
      </c>
      <c r="O150">
        <v>31593.16</v>
      </c>
      <c r="P150">
        <v>191.7</v>
      </c>
      <c r="Q150">
        <v>988.29</v>
      </c>
      <c r="R150">
        <v>49.12</v>
      </c>
      <c r="S150">
        <v>35.43</v>
      </c>
      <c r="T150">
        <v>5771.68</v>
      </c>
      <c r="U150">
        <v>0.72</v>
      </c>
      <c r="V150">
        <v>0.87</v>
      </c>
      <c r="W150">
        <v>3</v>
      </c>
      <c r="X150">
        <v>0.37</v>
      </c>
      <c r="Y150">
        <v>1</v>
      </c>
      <c r="Z150">
        <v>10</v>
      </c>
    </row>
    <row r="151" spans="1:26" x14ac:dyDescent="0.3">
      <c r="A151">
        <v>27</v>
      </c>
      <c r="B151">
        <v>125</v>
      </c>
      <c r="C151" t="s">
        <v>26</v>
      </c>
      <c r="D151">
        <v>5.9652000000000003</v>
      </c>
      <c r="E151">
        <v>16.760000000000002</v>
      </c>
      <c r="F151">
        <v>13.11</v>
      </c>
      <c r="G151">
        <v>41.4</v>
      </c>
      <c r="H151">
        <v>0.54</v>
      </c>
      <c r="I151">
        <v>19</v>
      </c>
      <c r="J151">
        <v>254.72</v>
      </c>
      <c r="K151">
        <v>58.47</v>
      </c>
      <c r="L151">
        <v>7.75</v>
      </c>
      <c r="M151">
        <v>17</v>
      </c>
      <c r="N151">
        <v>63.49</v>
      </c>
      <c r="O151">
        <v>31649.26</v>
      </c>
      <c r="P151">
        <v>190.71</v>
      </c>
      <c r="Q151">
        <v>988.09</v>
      </c>
      <c r="R151">
        <v>48.87</v>
      </c>
      <c r="S151">
        <v>35.43</v>
      </c>
      <c r="T151">
        <v>5649.45</v>
      </c>
      <c r="U151">
        <v>0.73</v>
      </c>
      <c r="V151">
        <v>0.87</v>
      </c>
      <c r="W151">
        <v>2.99</v>
      </c>
      <c r="X151">
        <v>0.36</v>
      </c>
      <c r="Y151">
        <v>1</v>
      </c>
      <c r="Z151">
        <v>10</v>
      </c>
    </row>
    <row r="152" spans="1:26" x14ac:dyDescent="0.3">
      <c r="A152">
        <v>28</v>
      </c>
      <c r="B152">
        <v>125</v>
      </c>
      <c r="C152" t="s">
        <v>26</v>
      </c>
      <c r="D152">
        <v>5.9859999999999998</v>
      </c>
      <c r="E152">
        <v>16.71</v>
      </c>
      <c r="F152">
        <v>13.1</v>
      </c>
      <c r="G152">
        <v>43.66</v>
      </c>
      <c r="H152">
        <v>0.56000000000000005</v>
      </c>
      <c r="I152">
        <v>18</v>
      </c>
      <c r="J152">
        <v>255.17</v>
      </c>
      <c r="K152">
        <v>58.47</v>
      </c>
      <c r="L152">
        <v>8</v>
      </c>
      <c r="M152">
        <v>16</v>
      </c>
      <c r="N152">
        <v>63.7</v>
      </c>
      <c r="O152">
        <v>31705.439999999999</v>
      </c>
      <c r="P152">
        <v>189.43</v>
      </c>
      <c r="Q152">
        <v>988.15</v>
      </c>
      <c r="R152">
        <v>48.41</v>
      </c>
      <c r="S152">
        <v>35.43</v>
      </c>
      <c r="T152">
        <v>5428.23</v>
      </c>
      <c r="U152">
        <v>0.73</v>
      </c>
      <c r="V152">
        <v>0.87</v>
      </c>
      <c r="W152">
        <v>3</v>
      </c>
      <c r="X152">
        <v>0.34</v>
      </c>
      <c r="Y152">
        <v>1</v>
      </c>
      <c r="Z152">
        <v>10</v>
      </c>
    </row>
    <row r="153" spans="1:26" x14ac:dyDescent="0.3">
      <c r="A153">
        <v>29</v>
      </c>
      <c r="B153">
        <v>125</v>
      </c>
      <c r="C153" t="s">
        <v>26</v>
      </c>
      <c r="D153">
        <v>5.9869000000000003</v>
      </c>
      <c r="E153">
        <v>16.7</v>
      </c>
      <c r="F153">
        <v>13.1</v>
      </c>
      <c r="G153">
        <v>43.65</v>
      </c>
      <c r="H153">
        <v>0.56999999999999995</v>
      </c>
      <c r="I153">
        <v>18</v>
      </c>
      <c r="J153">
        <v>255.63</v>
      </c>
      <c r="K153">
        <v>58.47</v>
      </c>
      <c r="L153">
        <v>8.25</v>
      </c>
      <c r="M153">
        <v>16</v>
      </c>
      <c r="N153">
        <v>63.91</v>
      </c>
      <c r="O153">
        <v>31761.69</v>
      </c>
      <c r="P153">
        <v>188.84</v>
      </c>
      <c r="Q153">
        <v>988.19</v>
      </c>
      <c r="R153">
        <v>48.45</v>
      </c>
      <c r="S153">
        <v>35.43</v>
      </c>
      <c r="T153">
        <v>5445.05</v>
      </c>
      <c r="U153">
        <v>0.73</v>
      </c>
      <c r="V153">
        <v>0.87</v>
      </c>
      <c r="W153">
        <v>2.99</v>
      </c>
      <c r="X153">
        <v>0.34</v>
      </c>
      <c r="Y153">
        <v>1</v>
      </c>
      <c r="Z153">
        <v>10</v>
      </c>
    </row>
    <row r="154" spans="1:26" x14ac:dyDescent="0.3">
      <c r="A154">
        <v>30</v>
      </c>
      <c r="B154">
        <v>125</v>
      </c>
      <c r="C154" t="s">
        <v>26</v>
      </c>
      <c r="D154">
        <v>6.0133000000000001</v>
      </c>
      <c r="E154">
        <v>16.63</v>
      </c>
      <c r="F154">
        <v>13.07</v>
      </c>
      <c r="G154">
        <v>46.13</v>
      </c>
      <c r="H154">
        <v>0.59</v>
      </c>
      <c r="I154">
        <v>17</v>
      </c>
      <c r="J154">
        <v>256.08999999999997</v>
      </c>
      <c r="K154">
        <v>58.47</v>
      </c>
      <c r="L154">
        <v>8.5</v>
      </c>
      <c r="M154">
        <v>15</v>
      </c>
      <c r="N154">
        <v>64.11</v>
      </c>
      <c r="O154">
        <v>31818.02</v>
      </c>
      <c r="P154">
        <v>186.67</v>
      </c>
      <c r="Q154">
        <v>988.15</v>
      </c>
      <c r="R154">
        <v>47.58</v>
      </c>
      <c r="S154">
        <v>35.43</v>
      </c>
      <c r="T154">
        <v>5014.6000000000004</v>
      </c>
      <c r="U154">
        <v>0.74</v>
      </c>
      <c r="V154">
        <v>0.87</v>
      </c>
      <c r="W154">
        <v>2.99</v>
      </c>
      <c r="X154">
        <v>0.32</v>
      </c>
      <c r="Y154">
        <v>1</v>
      </c>
      <c r="Z154">
        <v>10</v>
      </c>
    </row>
    <row r="155" spans="1:26" x14ac:dyDescent="0.3">
      <c r="A155">
        <v>31</v>
      </c>
      <c r="B155">
        <v>125</v>
      </c>
      <c r="C155" t="s">
        <v>26</v>
      </c>
      <c r="D155">
        <v>6.0119999999999996</v>
      </c>
      <c r="E155">
        <v>16.63</v>
      </c>
      <c r="F155">
        <v>13.07</v>
      </c>
      <c r="G155">
        <v>46.14</v>
      </c>
      <c r="H155">
        <v>0.61</v>
      </c>
      <c r="I155">
        <v>17</v>
      </c>
      <c r="J155">
        <v>256.54000000000002</v>
      </c>
      <c r="K155">
        <v>58.47</v>
      </c>
      <c r="L155">
        <v>8.75</v>
      </c>
      <c r="M155">
        <v>15</v>
      </c>
      <c r="N155">
        <v>64.319999999999993</v>
      </c>
      <c r="O155">
        <v>31874.43</v>
      </c>
      <c r="P155">
        <v>186.33</v>
      </c>
      <c r="Q155">
        <v>988.09</v>
      </c>
      <c r="R155">
        <v>47.86</v>
      </c>
      <c r="S155">
        <v>35.43</v>
      </c>
      <c r="T155">
        <v>5156.54</v>
      </c>
      <c r="U155">
        <v>0.74</v>
      </c>
      <c r="V155">
        <v>0.87</v>
      </c>
      <c r="W155">
        <v>2.99</v>
      </c>
      <c r="X155">
        <v>0.32</v>
      </c>
      <c r="Y155">
        <v>1</v>
      </c>
      <c r="Z155">
        <v>10</v>
      </c>
    </row>
    <row r="156" spans="1:26" x14ac:dyDescent="0.3">
      <c r="A156">
        <v>32</v>
      </c>
      <c r="B156">
        <v>125</v>
      </c>
      <c r="C156" t="s">
        <v>26</v>
      </c>
      <c r="D156">
        <v>6.0365000000000002</v>
      </c>
      <c r="E156">
        <v>16.57</v>
      </c>
      <c r="F156">
        <v>13.05</v>
      </c>
      <c r="G156">
        <v>48.95</v>
      </c>
      <c r="H156">
        <v>0.62</v>
      </c>
      <c r="I156">
        <v>16</v>
      </c>
      <c r="J156">
        <v>257</v>
      </c>
      <c r="K156">
        <v>58.47</v>
      </c>
      <c r="L156">
        <v>9</v>
      </c>
      <c r="M156">
        <v>14</v>
      </c>
      <c r="N156">
        <v>64.53</v>
      </c>
      <c r="O156">
        <v>31931.040000000001</v>
      </c>
      <c r="P156">
        <v>185.61</v>
      </c>
      <c r="Q156">
        <v>988.09</v>
      </c>
      <c r="R156">
        <v>46.91</v>
      </c>
      <c r="S156">
        <v>35.43</v>
      </c>
      <c r="T156">
        <v>4685.95</v>
      </c>
      <c r="U156">
        <v>0.76</v>
      </c>
      <c r="V156">
        <v>0.87</v>
      </c>
      <c r="W156">
        <v>2.99</v>
      </c>
      <c r="X156">
        <v>0.3</v>
      </c>
      <c r="Y156">
        <v>1</v>
      </c>
      <c r="Z156">
        <v>10</v>
      </c>
    </row>
    <row r="157" spans="1:26" x14ac:dyDescent="0.3">
      <c r="A157">
        <v>33</v>
      </c>
      <c r="B157">
        <v>125</v>
      </c>
      <c r="C157" t="s">
        <v>26</v>
      </c>
      <c r="D157">
        <v>6.0347999999999997</v>
      </c>
      <c r="E157">
        <v>16.57</v>
      </c>
      <c r="F157">
        <v>13.06</v>
      </c>
      <c r="G157">
        <v>48.97</v>
      </c>
      <c r="H157">
        <v>0.64</v>
      </c>
      <c r="I157">
        <v>16</v>
      </c>
      <c r="J157">
        <v>257.45999999999998</v>
      </c>
      <c r="K157">
        <v>58.47</v>
      </c>
      <c r="L157">
        <v>9.25</v>
      </c>
      <c r="M157">
        <v>14</v>
      </c>
      <c r="N157">
        <v>64.739999999999995</v>
      </c>
      <c r="O157">
        <v>31987.61</v>
      </c>
      <c r="P157">
        <v>184.96</v>
      </c>
      <c r="Q157">
        <v>988.08</v>
      </c>
      <c r="R157">
        <v>47.36</v>
      </c>
      <c r="S157">
        <v>35.43</v>
      </c>
      <c r="T157">
        <v>4910.04</v>
      </c>
      <c r="U157">
        <v>0.75</v>
      </c>
      <c r="V157">
        <v>0.87</v>
      </c>
      <c r="W157">
        <v>2.99</v>
      </c>
      <c r="X157">
        <v>0.3</v>
      </c>
      <c r="Y157">
        <v>1</v>
      </c>
      <c r="Z157">
        <v>10</v>
      </c>
    </row>
    <row r="158" spans="1:26" x14ac:dyDescent="0.3">
      <c r="A158">
        <v>34</v>
      </c>
      <c r="B158">
        <v>125</v>
      </c>
      <c r="C158" t="s">
        <v>26</v>
      </c>
      <c r="D158">
        <v>6.0587999999999997</v>
      </c>
      <c r="E158">
        <v>16.5</v>
      </c>
      <c r="F158">
        <v>13.04</v>
      </c>
      <c r="G158">
        <v>52.16</v>
      </c>
      <c r="H158">
        <v>0.66</v>
      </c>
      <c r="I158">
        <v>15</v>
      </c>
      <c r="J158">
        <v>257.92</v>
      </c>
      <c r="K158">
        <v>58.47</v>
      </c>
      <c r="L158">
        <v>9.5</v>
      </c>
      <c r="M158">
        <v>13</v>
      </c>
      <c r="N158">
        <v>64.95</v>
      </c>
      <c r="O158">
        <v>32044.25</v>
      </c>
      <c r="P158">
        <v>183.81</v>
      </c>
      <c r="Q158">
        <v>988.14</v>
      </c>
      <c r="R158">
        <v>46.81</v>
      </c>
      <c r="S158">
        <v>35.43</v>
      </c>
      <c r="T158">
        <v>4642.7700000000004</v>
      </c>
      <c r="U158">
        <v>0.76</v>
      </c>
      <c r="V158">
        <v>0.87</v>
      </c>
      <c r="W158">
        <v>2.99</v>
      </c>
      <c r="X158">
        <v>0.28999999999999998</v>
      </c>
      <c r="Y158">
        <v>1</v>
      </c>
      <c r="Z158">
        <v>10</v>
      </c>
    </row>
    <row r="159" spans="1:26" x14ac:dyDescent="0.3">
      <c r="A159">
        <v>35</v>
      </c>
      <c r="B159">
        <v>125</v>
      </c>
      <c r="C159" t="s">
        <v>26</v>
      </c>
      <c r="D159">
        <v>6.0616000000000003</v>
      </c>
      <c r="E159">
        <v>16.5</v>
      </c>
      <c r="F159">
        <v>13.03</v>
      </c>
      <c r="G159">
        <v>52.13</v>
      </c>
      <c r="H159">
        <v>0.67</v>
      </c>
      <c r="I159">
        <v>15</v>
      </c>
      <c r="J159">
        <v>258.38</v>
      </c>
      <c r="K159">
        <v>58.47</v>
      </c>
      <c r="L159">
        <v>9.75</v>
      </c>
      <c r="M159">
        <v>13</v>
      </c>
      <c r="N159">
        <v>65.16</v>
      </c>
      <c r="O159">
        <v>32100.97</v>
      </c>
      <c r="P159">
        <v>182.72</v>
      </c>
      <c r="Q159">
        <v>988.16</v>
      </c>
      <c r="R159">
        <v>46.44</v>
      </c>
      <c r="S159">
        <v>35.43</v>
      </c>
      <c r="T159">
        <v>4456.99</v>
      </c>
      <c r="U159">
        <v>0.76</v>
      </c>
      <c r="V159">
        <v>0.87</v>
      </c>
      <c r="W159">
        <v>2.99</v>
      </c>
      <c r="X159">
        <v>0.28000000000000003</v>
      </c>
      <c r="Y159">
        <v>1</v>
      </c>
      <c r="Z159">
        <v>10</v>
      </c>
    </row>
    <row r="160" spans="1:26" x14ac:dyDescent="0.3">
      <c r="A160">
        <v>36</v>
      </c>
      <c r="B160">
        <v>125</v>
      </c>
      <c r="C160" t="s">
        <v>26</v>
      </c>
      <c r="D160">
        <v>6.0831999999999997</v>
      </c>
      <c r="E160">
        <v>16.440000000000001</v>
      </c>
      <c r="F160">
        <v>13.02</v>
      </c>
      <c r="G160">
        <v>55.8</v>
      </c>
      <c r="H160">
        <v>0.69</v>
      </c>
      <c r="I160">
        <v>14</v>
      </c>
      <c r="J160">
        <v>258.83999999999997</v>
      </c>
      <c r="K160">
        <v>58.47</v>
      </c>
      <c r="L160">
        <v>10</v>
      </c>
      <c r="M160">
        <v>12</v>
      </c>
      <c r="N160">
        <v>65.37</v>
      </c>
      <c r="O160">
        <v>32157.77</v>
      </c>
      <c r="P160">
        <v>181.69</v>
      </c>
      <c r="Q160">
        <v>988.1</v>
      </c>
      <c r="R160">
        <v>46</v>
      </c>
      <c r="S160">
        <v>35.43</v>
      </c>
      <c r="T160">
        <v>4241.8599999999997</v>
      </c>
      <c r="U160">
        <v>0.77</v>
      </c>
      <c r="V160">
        <v>0.88</v>
      </c>
      <c r="W160">
        <v>2.99</v>
      </c>
      <c r="X160">
        <v>0.27</v>
      </c>
      <c r="Y160">
        <v>1</v>
      </c>
      <c r="Z160">
        <v>10</v>
      </c>
    </row>
    <row r="161" spans="1:26" x14ac:dyDescent="0.3">
      <c r="A161">
        <v>37</v>
      </c>
      <c r="B161">
        <v>125</v>
      </c>
      <c r="C161" t="s">
        <v>26</v>
      </c>
      <c r="D161">
        <v>6.0891000000000002</v>
      </c>
      <c r="E161">
        <v>16.420000000000002</v>
      </c>
      <c r="F161">
        <v>13</v>
      </c>
      <c r="G161">
        <v>55.73</v>
      </c>
      <c r="H161">
        <v>0.7</v>
      </c>
      <c r="I161">
        <v>14</v>
      </c>
      <c r="J161">
        <v>259.3</v>
      </c>
      <c r="K161">
        <v>58.47</v>
      </c>
      <c r="L161">
        <v>10.25</v>
      </c>
      <c r="M161">
        <v>12</v>
      </c>
      <c r="N161">
        <v>65.58</v>
      </c>
      <c r="O161">
        <v>32214.639999999999</v>
      </c>
      <c r="P161">
        <v>181.13</v>
      </c>
      <c r="Q161">
        <v>988.08</v>
      </c>
      <c r="R161">
        <v>45.51</v>
      </c>
      <c r="S161">
        <v>35.43</v>
      </c>
      <c r="T161">
        <v>3996.48</v>
      </c>
      <c r="U161">
        <v>0.78</v>
      </c>
      <c r="V161">
        <v>0.88</v>
      </c>
      <c r="W161">
        <v>2.99</v>
      </c>
      <c r="X161">
        <v>0.25</v>
      </c>
      <c r="Y161">
        <v>1</v>
      </c>
      <c r="Z161">
        <v>10</v>
      </c>
    </row>
    <row r="162" spans="1:26" x14ac:dyDescent="0.3">
      <c r="A162">
        <v>38</v>
      </c>
      <c r="B162">
        <v>125</v>
      </c>
      <c r="C162" t="s">
        <v>26</v>
      </c>
      <c r="D162">
        <v>6.0910000000000002</v>
      </c>
      <c r="E162">
        <v>16.420000000000002</v>
      </c>
      <c r="F162">
        <v>13</v>
      </c>
      <c r="G162">
        <v>55.71</v>
      </c>
      <c r="H162">
        <v>0.72</v>
      </c>
      <c r="I162">
        <v>14</v>
      </c>
      <c r="J162">
        <v>259.76</v>
      </c>
      <c r="K162">
        <v>58.47</v>
      </c>
      <c r="L162">
        <v>10.5</v>
      </c>
      <c r="M162">
        <v>12</v>
      </c>
      <c r="N162">
        <v>65.790000000000006</v>
      </c>
      <c r="O162">
        <v>32271.599999999999</v>
      </c>
      <c r="P162">
        <v>180.04</v>
      </c>
      <c r="Q162">
        <v>988.22</v>
      </c>
      <c r="R162">
        <v>45.31</v>
      </c>
      <c r="S162">
        <v>35.43</v>
      </c>
      <c r="T162">
        <v>3898.56</v>
      </c>
      <c r="U162">
        <v>0.78</v>
      </c>
      <c r="V162">
        <v>0.88</v>
      </c>
      <c r="W162">
        <v>2.99</v>
      </c>
      <c r="X162">
        <v>0.25</v>
      </c>
      <c r="Y162">
        <v>1</v>
      </c>
      <c r="Z162">
        <v>10</v>
      </c>
    </row>
    <row r="163" spans="1:26" x14ac:dyDescent="0.3">
      <c r="A163">
        <v>39</v>
      </c>
      <c r="B163">
        <v>125</v>
      </c>
      <c r="C163" t="s">
        <v>26</v>
      </c>
      <c r="D163">
        <v>6.1105</v>
      </c>
      <c r="E163">
        <v>16.37</v>
      </c>
      <c r="F163">
        <v>12.99</v>
      </c>
      <c r="G163">
        <v>59.97</v>
      </c>
      <c r="H163">
        <v>0.74</v>
      </c>
      <c r="I163">
        <v>13</v>
      </c>
      <c r="J163">
        <v>260.23</v>
      </c>
      <c r="K163">
        <v>58.47</v>
      </c>
      <c r="L163">
        <v>10.75</v>
      </c>
      <c r="M163">
        <v>11</v>
      </c>
      <c r="N163">
        <v>66</v>
      </c>
      <c r="O163">
        <v>32328.639999999999</v>
      </c>
      <c r="P163">
        <v>178.52</v>
      </c>
      <c r="Q163">
        <v>988.08</v>
      </c>
      <c r="R163">
        <v>45.32</v>
      </c>
      <c r="S163">
        <v>35.43</v>
      </c>
      <c r="T163">
        <v>3906.93</v>
      </c>
      <c r="U163">
        <v>0.78</v>
      </c>
      <c r="V163">
        <v>0.88</v>
      </c>
      <c r="W163">
        <v>2.98</v>
      </c>
      <c r="X163">
        <v>0.24</v>
      </c>
      <c r="Y163">
        <v>1</v>
      </c>
      <c r="Z163">
        <v>10</v>
      </c>
    </row>
    <row r="164" spans="1:26" x14ac:dyDescent="0.3">
      <c r="A164">
        <v>40</v>
      </c>
      <c r="B164">
        <v>125</v>
      </c>
      <c r="C164" t="s">
        <v>26</v>
      </c>
      <c r="D164">
        <v>6.1097000000000001</v>
      </c>
      <c r="E164">
        <v>16.37</v>
      </c>
      <c r="F164">
        <v>13</v>
      </c>
      <c r="G164">
        <v>59.98</v>
      </c>
      <c r="H164">
        <v>0.75</v>
      </c>
      <c r="I164">
        <v>13</v>
      </c>
      <c r="J164">
        <v>260.69</v>
      </c>
      <c r="K164">
        <v>58.47</v>
      </c>
      <c r="L164">
        <v>11</v>
      </c>
      <c r="M164">
        <v>11</v>
      </c>
      <c r="N164">
        <v>66.209999999999994</v>
      </c>
      <c r="O164">
        <v>32385.75</v>
      </c>
      <c r="P164">
        <v>178.14</v>
      </c>
      <c r="Q164">
        <v>988.08</v>
      </c>
      <c r="R164">
        <v>45.27</v>
      </c>
      <c r="S164">
        <v>35.43</v>
      </c>
      <c r="T164">
        <v>3883.46</v>
      </c>
      <c r="U164">
        <v>0.78</v>
      </c>
      <c r="V164">
        <v>0.88</v>
      </c>
      <c r="W164">
        <v>2.99</v>
      </c>
      <c r="X164">
        <v>0.24</v>
      </c>
      <c r="Y164">
        <v>1</v>
      </c>
      <c r="Z164">
        <v>10</v>
      </c>
    </row>
    <row r="165" spans="1:26" x14ac:dyDescent="0.3">
      <c r="A165">
        <v>41</v>
      </c>
      <c r="B165">
        <v>125</v>
      </c>
      <c r="C165" t="s">
        <v>26</v>
      </c>
      <c r="D165">
        <v>6.1147999999999998</v>
      </c>
      <c r="E165">
        <v>16.350000000000001</v>
      </c>
      <c r="F165">
        <v>12.98</v>
      </c>
      <c r="G165">
        <v>59.92</v>
      </c>
      <c r="H165">
        <v>0.77</v>
      </c>
      <c r="I165">
        <v>13</v>
      </c>
      <c r="J165">
        <v>261.14999999999998</v>
      </c>
      <c r="K165">
        <v>58.47</v>
      </c>
      <c r="L165">
        <v>11.25</v>
      </c>
      <c r="M165">
        <v>11</v>
      </c>
      <c r="N165">
        <v>66.430000000000007</v>
      </c>
      <c r="O165">
        <v>32442.95</v>
      </c>
      <c r="P165">
        <v>177.14</v>
      </c>
      <c r="Q165">
        <v>988.13</v>
      </c>
      <c r="R165">
        <v>44.82</v>
      </c>
      <c r="S165">
        <v>35.43</v>
      </c>
      <c r="T165">
        <v>3655.83</v>
      </c>
      <c r="U165">
        <v>0.79</v>
      </c>
      <c r="V165">
        <v>0.88</v>
      </c>
      <c r="W165">
        <v>2.99</v>
      </c>
      <c r="X165">
        <v>0.23</v>
      </c>
      <c r="Y165">
        <v>1</v>
      </c>
      <c r="Z165">
        <v>10</v>
      </c>
    </row>
    <row r="166" spans="1:26" x14ac:dyDescent="0.3">
      <c r="A166">
        <v>42</v>
      </c>
      <c r="B166">
        <v>125</v>
      </c>
      <c r="C166" t="s">
        <v>26</v>
      </c>
      <c r="D166">
        <v>6.1378000000000004</v>
      </c>
      <c r="E166">
        <v>16.29</v>
      </c>
      <c r="F166">
        <v>12.97</v>
      </c>
      <c r="G166">
        <v>64.84</v>
      </c>
      <c r="H166">
        <v>0.78</v>
      </c>
      <c r="I166">
        <v>12</v>
      </c>
      <c r="J166">
        <v>261.62</v>
      </c>
      <c r="K166">
        <v>58.47</v>
      </c>
      <c r="L166">
        <v>11.5</v>
      </c>
      <c r="M166">
        <v>10</v>
      </c>
      <c r="N166">
        <v>66.64</v>
      </c>
      <c r="O166">
        <v>32500.22</v>
      </c>
      <c r="P166">
        <v>175.39</v>
      </c>
      <c r="Q166">
        <v>988.1</v>
      </c>
      <c r="R166">
        <v>44.43</v>
      </c>
      <c r="S166">
        <v>35.43</v>
      </c>
      <c r="T166">
        <v>3463.69</v>
      </c>
      <c r="U166">
        <v>0.8</v>
      </c>
      <c r="V166">
        <v>0.88</v>
      </c>
      <c r="W166">
        <v>2.98</v>
      </c>
      <c r="X166">
        <v>0.21</v>
      </c>
      <c r="Y166">
        <v>1</v>
      </c>
      <c r="Z166">
        <v>10</v>
      </c>
    </row>
    <row r="167" spans="1:26" x14ac:dyDescent="0.3">
      <c r="A167">
        <v>43</v>
      </c>
      <c r="B167">
        <v>125</v>
      </c>
      <c r="C167" t="s">
        <v>26</v>
      </c>
      <c r="D167">
        <v>6.1372</v>
      </c>
      <c r="E167">
        <v>16.29</v>
      </c>
      <c r="F167">
        <v>12.97</v>
      </c>
      <c r="G167">
        <v>64.849999999999994</v>
      </c>
      <c r="H167">
        <v>0.8</v>
      </c>
      <c r="I167">
        <v>12</v>
      </c>
      <c r="J167">
        <v>262.08</v>
      </c>
      <c r="K167">
        <v>58.47</v>
      </c>
      <c r="L167">
        <v>11.75</v>
      </c>
      <c r="M167">
        <v>10</v>
      </c>
      <c r="N167">
        <v>66.86</v>
      </c>
      <c r="O167">
        <v>32557.58</v>
      </c>
      <c r="P167">
        <v>174.48</v>
      </c>
      <c r="Q167">
        <v>988.14</v>
      </c>
      <c r="R167">
        <v>44.46</v>
      </c>
      <c r="S167">
        <v>35.43</v>
      </c>
      <c r="T167">
        <v>3479.04</v>
      </c>
      <c r="U167">
        <v>0.8</v>
      </c>
      <c r="V167">
        <v>0.88</v>
      </c>
      <c r="W167">
        <v>2.98</v>
      </c>
      <c r="X167">
        <v>0.22</v>
      </c>
      <c r="Y167">
        <v>1</v>
      </c>
      <c r="Z167">
        <v>10</v>
      </c>
    </row>
    <row r="168" spans="1:26" x14ac:dyDescent="0.3">
      <c r="A168">
        <v>44</v>
      </c>
      <c r="B168">
        <v>125</v>
      </c>
      <c r="C168" t="s">
        <v>26</v>
      </c>
      <c r="D168">
        <v>6.1409000000000002</v>
      </c>
      <c r="E168">
        <v>16.28</v>
      </c>
      <c r="F168">
        <v>12.96</v>
      </c>
      <c r="G168">
        <v>64.8</v>
      </c>
      <c r="H168">
        <v>0.81</v>
      </c>
      <c r="I168">
        <v>12</v>
      </c>
      <c r="J168">
        <v>262.55</v>
      </c>
      <c r="K168">
        <v>58.47</v>
      </c>
      <c r="L168">
        <v>12</v>
      </c>
      <c r="M168">
        <v>10</v>
      </c>
      <c r="N168">
        <v>67.069999999999993</v>
      </c>
      <c r="O168">
        <v>32615.02</v>
      </c>
      <c r="P168">
        <v>173.98</v>
      </c>
      <c r="Q168">
        <v>988.08</v>
      </c>
      <c r="R168">
        <v>44.11</v>
      </c>
      <c r="S168">
        <v>35.43</v>
      </c>
      <c r="T168">
        <v>3306.96</v>
      </c>
      <c r="U168">
        <v>0.8</v>
      </c>
      <c r="V168">
        <v>0.88</v>
      </c>
      <c r="W168">
        <v>2.98</v>
      </c>
      <c r="X168">
        <v>0.21</v>
      </c>
      <c r="Y168">
        <v>1</v>
      </c>
      <c r="Z168">
        <v>10</v>
      </c>
    </row>
    <row r="169" spans="1:26" x14ac:dyDescent="0.3">
      <c r="A169">
        <v>45</v>
      </c>
      <c r="B169">
        <v>125</v>
      </c>
      <c r="C169" t="s">
        <v>26</v>
      </c>
      <c r="D169">
        <v>6.1361999999999997</v>
      </c>
      <c r="E169">
        <v>16.3</v>
      </c>
      <c r="F169">
        <v>12.97</v>
      </c>
      <c r="G169">
        <v>64.87</v>
      </c>
      <c r="H169">
        <v>0.83</v>
      </c>
      <c r="I169">
        <v>12</v>
      </c>
      <c r="J169">
        <v>263.01</v>
      </c>
      <c r="K169">
        <v>58.47</v>
      </c>
      <c r="L169">
        <v>12.25</v>
      </c>
      <c r="M169">
        <v>10</v>
      </c>
      <c r="N169">
        <v>67.290000000000006</v>
      </c>
      <c r="O169">
        <v>32672.53</v>
      </c>
      <c r="P169">
        <v>173.46</v>
      </c>
      <c r="Q169">
        <v>988.17</v>
      </c>
      <c r="R169">
        <v>44.51</v>
      </c>
      <c r="S169">
        <v>35.43</v>
      </c>
      <c r="T169">
        <v>3504.64</v>
      </c>
      <c r="U169">
        <v>0.8</v>
      </c>
      <c r="V169">
        <v>0.88</v>
      </c>
      <c r="W169">
        <v>2.99</v>
      </c>
      <c r="X169">
        <v>0.22</v>
      </c>
      <c r="Y169">
        <v>1</v>
      </c>
      <c r="Z169">
        <v>10</v>
      </c>
    </row>
    <row r="170" spans="1:26" x14ac:dyDescent="0.3">
      <c r="A170">
        <v>46</v>
      </c>
      <c r="B170">
        <v>125</v>
      </c>
      <c r="C170" t="s">
        <v>26</v>
      </c>
      <c r="D170">
        <v>6.1580000000000004</v>
      </c>
      <c r="E170">
        <v>16.239999999999998</v>
      </c>
      <c r="F170">
        <v>12.96</v>
      </c>
      <c r="G170">
        <v>70.709999999999994</v>
      </c>
      <c r="H170">
        <v>0.84</v>
      </c>
      <c r="I170">
        <v>11</v>
      </c>
      <c r="J170">
        <v>263.48</v>
      </c>
      <c r="K170">
        <v>58.47</v>
      </c>
      <c r="L170">
        <v>12.5</v>
      </c>
      <c r="M170">
        <v>9</v>
      </c>
      <c r="N170">
        <v>67.510000000000005</v>
      </c>
      <c r="O170">
        <v>32730.13</v>
      </c>
      <c r="P170">
        <v>172.12</v>
      </c>
      <c r="Q170">
        <v>988.16</v>
      </c>
      <c r="R170">
        <v>44.23</v>
      </c>
      <c r="S170">
        <v>35.43</v>
      </c>
      <c r="T170">
        <v>3370.77</v>
      </c>
      <c r="U170">
        <v>0.8</v>
      </c>
      <c r="V170">
        <v>0.88</v>
      </c>
      <c r="W170">
        <v>2.98</v>
      </c>
      <c r="X170">
        <v>0.21</v>
      </c>
      <c r="Y170">
        <v>1</v>
      </c>
      <c r="Z170">
        <v>10</v>
      </c>
    </row>
    <row r="171" spans="1:26" x14ac:dyDescent="0.3">
      <c r="A171">
        <v>47</v>
      </c>
      <c r="B171">
        <v>125</v>
      </c>
      <c r="C171" t="s">
        <v>26</v>
      </c>
      <c r="D171">
        <v>6.1631999999999998</v>
      </c>
      <c r="E171">
        <v>16.23</v>
      </c>
      <c r="F171">
        <v>12.95</v>
      </c>
      <c r="G171">
        <v>70.63</v>
      </c>
      <c r="H171">
        <v>0.86</v>
      </c>
      <c r="I171">
        <v>11</v>
      </c>
      <c r="J171">
        <v>263.95</v>
      </c>
      <c r="K171">
        <v>58.47</v>
      </c>
      <c r="L171">
        <v>12.75</v>
      </c>
      <c r="M171">
        <v>9</v>
      </c>
      <c r="N171">
        <v>67.72</v>
      </c>
      <c r="O171">
        <v>32787.82</v>
      </c>
      <c r="P171">
        <v>171.43</v>
      </c>
      <c r="Q171">
        <v>988.08</v>
      </c>
      <c r="R171">
        <v>43.77</v>
      </c>
      <c r="S171">
        <v>35.43</v>
      </c>
      <c r="T171">
        <v>3142.82</v>
      </c>
      <c r="U171">
        <v>0.81</v>
      </c>
      <c r="V171">
        <v>0.88</v>
      </c>
      <c r="W171">
        <v>2.98</v>
      </c>
      <c r="X171">
        <v>0.2</v>
      </c>
      <c r="Y171">
        <v>1</v>
      </c>
      <c r="Z171">
        <v>10</v>
      </c>
    </row>
    <row r="172" spans="1:26" x14ac:dyDescent="0.3">
      <c r="A172">
        <v>48</v>
      </c>
      <c r="B172">
        <v>125</v>
      </c>
      <c r="C172" t="s">
        <v>26</v>
      </c>
      <c r="D172">
        <v>6.1622000000000003</v>
      </c>
      <c r="E172">
        <v>16.23</v>
      </c>
      <c r="F172">
        <v>12.95</v>
      </c>
      <c r="G172">
        <v>70.650000000000006</v>
      </c>
      <c r="H172">
        <v>0.87</v>
      </c>
      <c r="I172">
        <v>11</v>
      </c>
      <c r="J172">
        <v>264.42</v>
      </c>
      <c r="K172">
        <v>58.47</v>
      </c>
      <c r="L172">
        <v>13</v>
      </c>
      <c r="M172">
        <v>9</v>
      </c>
      <c r="N172">
        <v>67.94</v>
      </c>
      <c r="O172">
        <v>32845.58</v>
      </c>
      <c r="P172">
        <v>170.39</v>
      </c>
      <c r="Q172">
        <v>988.09</v>
      </c>
      <c r="R172">
        <v>43.91</v>
      </c>
      <c r="S172">
        <v>35.43</v>
      </c>
      <c r="T172">
        <v>3210.74</v>
      </c>
      <c r="U172">
        <v>0.81</v>
      </c>
      <c r="V172">
        <v>0.88</v>
      </c>
      <c r="W172">
        <v>2.98</v>
      </c>
      <c r="X172">
        <v>0.2</v>
      </c>
      <c r="Y172">
        <v>1</v>
      </c>
      <c r="Z172">
        <v>10</v>
      </c>
    </row>
    <row r="173" spans="1:26" x14ac:dyDescent="0.3">
      <c r="A173">
        <v>49</v>
      </c>
      <c r="B173">
        <v>125</v>
      </c>
      <c r="C173" t="s">
        <v>26</v>
      </c>
      <c r="D173">
        <v>6.1639999999999997</v>
      </c>
      <c r="E173">
        <v>16.22</v>
      </c>
      <c r="F173">
        <v>12.95</v>
      </c>
      <c r="G173">
        <v>70.62</v>
      </c>
      <c r="H173">
        <v>0.89</v>
      </c>
      <c r="I173">
        <v>11</v>
      </c>
      <c r="J173">
        <v>264.89</v>
      </c>
      <c r="K173">
        <v>58.47</v>
      </c>
      <c r="L173">
        <v>13.25</v>
      </c>
      <c r="M173">
        <v>9</v>
      </c>
      <c r="N173">
        <v>68.16</v>
      </c>
      <c r="O173">
        <v>32903.43</v>
      </c>
      <c r="P173">
        <v>168.03</v>
      </c>
      <c r="Q173">
        <v>988.13</v>
      </c>
      <c r="R173">
        <v>43.78</v>
      </c>
      <c r="S173">
        <v>35.43</v>
      </c>
      <c r="T173">
        <v>3147.08</v>
      </c>
      <c r="U173">
        <v>0.81</v>
      </c>
      <c r="V173">
        <v>0.88</v>
      </c>
      <c r="W173">
        <v>2.98</v>
      </c>
      <c r="X173">
        <v>0.19</v>
      </c>
      <c r="Y173">
        <v>1</v>
      </c>
      <c r="Z173">
        <v>10</v>
      </c>
    </row>
    <row r="174" spans="1:26" x14ac:dyDescent="0.3">
      <c r="A174">
        <v>50</v>
      </c>
      <c r="B174">
        <v>125</v>
      </c>
      <c r="C174" t="s">
        <v>26</v>
      </c>
      <c r="D174">
        <v>6.1923000000000004</v>
      </c>
      <c r="E174">
        <v>16.149999999999999</v>
      </c>
      <c r="F174">
        <v>12.92</v>
      </c>
      <c r="G174">
        <v>77.52</v>
      </c>
      <c r="H174">
        <v>0.91</v>
      </c>
      <c r="I174">
        <v>10</v>
      </c>
      <c r="J174">
        <v>265.36</v>
      </c>
      <c r="K174">
        <v>58.47</v>
      </c>
      <c r="L174">
        <v>13.5</v>
      </c>
      <c r="M174">
        <v>8</v>
      </c>
      <c r="N174">
        <v>68.38</v>
      </c>
      <c r="O174">
        <v>32961.360000000001</v>
      </c>
      <c r="P174">
        <v>167.33</v>
      </c>
      <c r="Q174">
        <v>988.08</v>
      </c>
      <c r="R174">
        <v>43.01</v>
      </c>
      <c r="S174">
        <v>35.43</v>
      </c>
      <c r="T174">
        <v>2767.56</v>
      </c>
      <c r="U174">
        <v>0.82</v>
      </c>
      <c r="V174">
        <v>0.88</v>
      </c>
      <c r="W174">
        <v>2.98</v>
      </c>
      <c r="X174">
        <v>0.17</v>
      </c>
      <c r="Y174">
        <v>1</v>
      </c>
      <c r="Z174">
        <v>10</v>
      </c>
    </row>
    <row r="175" spans="1:26" x14ac:dyDescent="0.3">
      <c r="A175">
        <v>51</v>
      </c>
      <c r="B175">
        <v>125</v>
      </c>
      <c r="C175" t="s">
        <v>26</v>
      </c>
      <c r="D175">
        <v>6.1891999999999996</v>
      </c>
      <c r="E175">
        <v>16.16</v>
      </c>
      <c r="F175">
        <v>12.93</v>
      </c>
      <c r="G175">
        <v>77.569999999999993</v>
      </c>
      <c r="H175">
        <v>0.92</v>
      </c>
      <c r="I175">
        <v>10</v>
      </c>
      <c r="J175">
        <v>265.83</v>
      </c>
      <c r="K175">
        <v>58.47</v>
      </c>
      <c r="L175">
        <v>13.75</v>
      </c>
      <c r="M175">
        <v>7</v>
      </c>
      <c r="N175">
        <v>68.599999999999994</v>
      </c>
      <c r="O175">
        <v>33019.370000000003</v>
      </c>
      <c r="P175">
        <v>165.66</v>
      </c>
      <c r="Q175">
        <v>988.19</v>
      </c>
      <c r="R175">
        <v>43.1</v>
      </c>
      <c r="S175">
        <v>35.43</v>
      </c>
      <c r="T175">
        <v>2813.49</v>
      </c>
      <c r="U175">
        <v>0.82</v>
      </c>
      <c r="V175">
        <v>0.88</v>
      </c>
      <c r="W175">
        <v>2.98</v>
      </c>
      <c r="X175">
        <v>0.17</v>
      </c>
      <c r="Y175">
        <v>1</v>
      </c>
      <c r="Z175">
        <v>10</v>
      </c>
    </row>
    <row r="176" spans="1:26" x14ac:dyDescent="0.3">
      <c r="A176">
        <v>52</v>
      </c>
      <c r="B176">
        <v>125</v>
      </c>
      <c r="C176" t="s">
        <v>26</v>
      </c>
      <c r="D176">
        <v>6.1863000000000001</v>
      </c>
      <c r="E176">
        <v>16.16</v>
      </c>
      <c r="F176">
        <v>12.94</v>
      </c>
      <c r="G176">
        <v>77.61</v>
      </c>
      <c r="H176">
        <v>0.94</v>
      </c>
      <c r="I176">
        <v>10</v>
      </c>
      <c r="J176">
        <v>266.3</v>
      </c>
      <c r="K176">
        <v>58.47</v>
      </c>
      <c r="L176">
        <v>14</v>
      </c>
      <c r="M176">
        <v>6</v>
      </c>
      <c r="N176">
        <v>68.819999999999993</v>
      </c>
      <c r="O176">
        <v>33077.47</v>
      </c>
      <c r="P176">
        <v>165.68</v>
      </c>
      <c r="Q176">
        <v>988.15</v>
      </c>
      <c r="R176">
        <v>43.27</v>
      </c>
      <c r="S176">
        <v>35.43</v>
      </c>
      <c r="T176">
        <v>2896.97</v>
      </c>
      <c r="U176">
        <v>0.82</v>
      </c>
      <c r="V176">
        <v>0.88</v>
      </c>
      <c r="W176">
        <v>2.99</v>
      </c>
      <c r="X176">
        <v>0.18</v>
      </c>
      <c r="Y176">
        <v>1</v>
      </c>
      <c r="Z176">
        <v>10</v>
      </c>
    </row>
    <row r="177" spans="1:26" x14ac:dyDescent="0.3">
      <c r="A177">
        <v>53</v>
      </c>
      <c r="B177">
        <v>125</v>
      </c>
      <c r="C177" t="s">
        <v>26</v>
      </c>
      <c r="D177">
        <v>6.1883999999999997</v>
      </c>
      <c r="E177">
        <v>16.16</v>
      </c>
      <c r="F177">
        <v>12.93</v>
      </c>
      <c r="G177">
        <v>77.58</v>
      </c>
      <c r="H177">
        <v>0.95</v>
      </c>
      <c r="I177">
        <v>10</v>
      </c>
      <c r="J177">
        <v>266.77</v>
      </c>
      <c r="K177">
        <v>58.47</v>
      </c>
      <c r="L177">
        <v>14.25</v>
      </c>
      <c r="M177">
        <v>5</v>
      </c>
      <c r="N177">
        <v>69.040000000000006</v>
      </c>
      <c r="O177">
        <v>33135.65</v>
      </c>
      <c r="P177">
        <v>165.27</v>
      </c>
      <c r="Q177">
        <v>988.08</v>
      </c>
      <c r="R177">
        <v>43.13</v>
      </c>
      <c r="S177">
        <v>35.43</v>
      </c>
      <c r="T177">
        <v>2825.7</v>
      </c>
      <c r="U177">
        <v>0.82</v>
      </c>
      <c r="V177">
        <v>0.88</v>
      </c>
      <c r="W177">
        <v>2.98</v>
      </c>
      <c r="X177">
        <v>0.18</v>
      </c>
      <c r="Y177">
        <v>1</v>
      </c>
      <c r="Z177">
        <v>10</v>
      </c>
    </row>
    <row r="178" spans="1:26" x14ac:dyDescent="0.3">
      <c r="A178">
        <v>54</v>
      </c>
      <c r="B178">
        <v>125</v>
      </c>
      <c r="C178" t="s">
        <v>26</v>
      </c>
      <c r="D178">
        <v>6.1852</v>
      </c>
      <c r="E178">
        <v>16.170000000000002</v>
      </c>
      <c r="F178">
        <v>12.94</v>
      </c>
      <c r="G178">
        <v>77.63</v>
      </c>
      <c r="H178">
        <v>0.97</v>
      </c>
      <c r="I178">
        <v>10</v>
      </c>
      <c r="J178">
        <v>267.24</v>
      </c>
      <c r="K178">
        <v>58.47</v>
      </c>
      <c r="L178">
        <v>14.5</v>
      </c>
      <c r="M178">
        <v>5</v>
      </c>
      <c r="N178">
        <v>69.27</v>
      </c>
      <c r="O178">
        <v>33193.919999999998</v>
      </c>
      <c r="P178">
        <v>164.71</v>
      </c>
      <c r="Q178">
        <v>988.09</v>
      </c>
      <c r="R178">
        <v>43.31</v>
      </c>
      <c r="S178">
        <v>35.43</v>
      </c>
      <c r="T178">
        <v>2916.8</v>
      </c>
      <c r="U178">
        <v>0.82</v>
      </c>
      <c r="V178">
        <v>0.88</v>
      </c>
      <c r="W178">
        <v>2.99</v>
      </c>
      <c r="X178">
        <v>0.18</v>
      </c>
      <c r="Y178">
        <v>1</v>
      </c>
      <c r="Z178">
        <v>10</v>
      </c>
    </row>
    <row r="179" spans="1:26" x14ac:dyDescent="0.3">
      <c r="A179">
        <v>55</v>
      </c>
      <c r="B179">
        <v>125</v>
      </c>
      <c r="C179" t="s">
        <v>26</v>
      </c>
      <c r="D179">
        <v>6.1860999999999997</v>
      </c>
      <c r="E179">
        <v>16.170000000000002</v>
      </c>
      <c r="F179">
        <v>12.94</v>
      </c>
      <c r="G179">
        <v>77.62</v>
      </c>
      <c r="H179">
        <v>0.98</v>
      </c>
      <c r="I179">
        <v>10</v>
      </c>
      <c r="J179">
        <v>267.70999999999998</v>
      </c>
      <c r="K179">
        <v>58.47</v>
      </c>
      <c r="L179">
        <v>14.75</v>
      </c>
      <c r="M179">
        <v>4</v>
      </c>
      <c r="N179">
        <v>69.489999999999995</v>
      </c>
      <c r="O179">
        <v>33252.269999999997</v>
      </c>
      <c r="P179">
        <v>163.88</v>
      </c>
      <c r="Q179">
        <v>988.08</v>
      </c>
      <c r="R179">
        <v>43.22</v>
      </c>
      <c r="S179">
        <v>35.43</v>
      </c>
      <c r="T179">
        <v>2871.21</v>
      </c>
      <c r="U179">
        <v>0.82</v>
      </c>
      <c r="V179">
        <v>0.88</v>
      </c>
      <c r="W179">
        <v>2.99</v>
      </c>
      <c r="X179">
        <v>0.18</v>
      </c>
      <c r="Y179">
        <v>1</v>
      </c>
      <c r="Z179">
        <v>10</v>
      </c>
    </row>
    <row r="180" spans="1:26" x14ac:dyDescent="0.3">
      <c r="A180">
        <v>56</v>
      </c>
      <c r="B180">
        <v>125</v>
      </c>
      <c r="C180" t="s">
        <v>26</v>
      </c>
      <c r="D180">
        <v>6.2130000000000001</v>
      </c>
      <c r="E180">
        <v>16.100000000000001</v>
      </c>
      <c r="F180">
        <v>12.91</v>
      </c>
      <c r="G180">
        <v>86.09</v>
      </c>
      <c r="H180">
        <v>1</v>
      </c>
      <c r="I180">
        <v>9</v>
      </c>
      <c r="J180">
        <v>268.19</v>
      </c>
      <c r="K180">
        <v>58.47</v>
      </c>
      <c r="L180">
        <v>15</v>
      </c>
      <c r="M180">
        <v>1</v>
      </c>
      <c r="N180">
        <v>69.709999999999994</v>
      </c>
      <c r="O180">
        <v>33310.699999999997</v>
      </c>
      <c r="P180">
        <v>162.88999999999999</v>
      </c>
      <c r="Q180">
        <v>988.12</v>
      </c>
      <c r="R180">
        <v>42.52</v>
      </c>
      <c r="S180">
        <v>35.43</v>
      </c>
      <c r="T180">
        <v>2525.4899999999998</v>
      </c>
      <c r="U180">
        <v>0.83</v>
      </c>
      <c r="V180">
        <v>0.88</v>
      </c>
      <c r="W180">
        <v>2.98</v>
      </c>
      <c r="X180">
        <v>0.16</v>
      </c>
      <c r="Y180">
        <v>1</v>
      </c>
      <c r="Z180">
        <v>10</v>
      </c>
    </row>
    <row r="181" spans="1:26" x14ac:dyDescent="0.3">
      <c r="A181">
        <v>57</v>
      </c>
      <c r="B181">
        <v>125</v>
      </c>
      <c r="C181" t="s">
        <v>26</v>
      </c>
      <c r="D181">
        <v>6.2103000000000002</v>
      </c>
      <c r="E181">
        <v>16.100000000000001</v>
      </c>
      <c r="F181">
        <v>12.92</v>
      </c>
      <c r="G181">
        <v>86.14</v>
      </c>
      <c r="H181">
        <v>1.01</v>
      </c>
      <c r="I181">
        <v>9</v>
      </c>
      <c r="J181">
        <v>268.66000000000003</v>
      </c>
      <c r="K181">
        <v>58.47</v>
      </c>
      <c r="L181">
        <v>15.25</v>
      </c>
      <c r="M181">
        <v>0</v>
      </c>
      <c r="N181">
        <v>69.94</v>
      </c>
      <c r="O181">
        <v>33369.22</v>
      </c>
      <c r="P181">
        <v>162.99</v>
      </c>
      <c r="Q181">
        <v>988.08</v>
      </c>
      <c r="R181">
        <v>42.67</v>
      </c>
      <c r="S181">
        <v>35.43</v>
      </c>
      <c r="T181">
        <v>2599.11</v>
      </c>
      <c r="U181">
        <v>0.83</v>
      </c>
      <c r="V181">
        <v>0.88</v>
      </c>
      <c r="W181">
        <v>2.99</v>
      </c>
      <c r="X181">
        <v>0.17</v>
      </c>
      <c r="Y181">
        <v>1</v>
      </c>
      <c r="Z181">
        <v>10</v>
      </c>
    </row>
    <row r="182" spans="1:26" x14ac:dyDescent="0.3">
      <c r="A182">
        <v>0</v>
      </c>
      <c r="B182">
        <v>30</v>
      </c>
      <c r="C182" t="s">
        <v>26</v>
      </c>
      <c r="D182">
        <v>5.8788999999999998</v>
      </c>
      <c r="E182">
        <v>17.010000000000002</v>
      </c>
      <c r="F182">
        <v>14.11</v>
      </c>
      <c r="G182">
        <v>12.45</v>
      </c>
      <c r="H182">
        <v>0.24</v>
      </c>
      <c r="I182">
        <v>68</v>
      </c>
      <c r="J182">
        <v>71.52</v>
      </c>
      <c r="K182">
        <v>32.270000000000003</v>
      </c>
      <c r="L182">
        <v>1</v>
      </c>
      <c r="M182">
        <v>66</v>
      </c>
      <c r="N182">
        <v>8.25</v>
      </c>
      <c r="O182">
        <v>9054.6</v>
      </c>
      <c r="P182">
        <v>92.47</v>
      </c>
      <c r="Q182">
        <v>988.22</v>
      </c>
      <c r="R182">
        <v>79.95</v>
      </c>
      <c r="S182">
        <v>35.43</v>
      </c>
      <c r="T182">
        <v>20944.2</v>
      </c>
      <c r="U182">
        <v>0.44</v>
      </c>
      <c r="V182">
        <v>0.81</v>
      </c>
      <c r="W182">
        <v>3.07</v>
      </c>
      <c r="X182">
        <v>1.35</v>
      </c>
      <c r="Y182">
        <v>1</v>
      </c>
      <c r="Z182">
        <v>10</v>
      </c>
    </row>
    <row r="183" spans="1:26" x14ac:dyDescent="0.3">
      <c r="A183">
        <v>1</v>
      </c>
      <c r="B183">
        <v>30</v>
      </c>
      <c r="C183" t="s">
        <v>26</v>
      </c>
      <c r="D183">
        <v>6.0917000000000003</v>
      </c>
      <c r="E183">
        <v>16.420000000000002</v>
      </c>
      <c r="F183">
        <v>13.78</v>
      </c>
      <c r="G183">
        <v>16.21</v>
      </c>
      <c r="H183">
        <v>0.3</v>
      </c>
      <c r="I183">
        <v>51</v>
      </c>
      <c r="J183">
        <v>71.81</v>
      </c>
      <c r="K183">
        <v>32.270000000000003</v>
      </c>
      <c r="L183">
        <v>1.25</v>
      </c>
      <c r="M183">
        <v>49</v>
      </c>
      <c r="N183">
        <v>8.2899999999999991</v>
      </c>
      <c r="O183">
        <v>9090.98</v>
      </c>
      <c r="P183">
        <v>86.77</v>
      </c>
      <c r="Q183">
        <v>988.18</v>
      </c>
      <c r="R183">
        <v>69.709999999999994</v>
      </c>
      <c r="S183">
        <v>35.43</v>
      </c>
      <c r="T183">
        <v>15911.22</v>
      </c>
      <c r="U183">
        <v>0.51</v>
      </c>
      <c r="V183">
        <v>0.83</v>
      </c>
      <c r="W183">
        <v>3.05</v>
      </c>
      <c r="X183">
        <v>1.02</v>
      </c>
      <c r="Y183">
        <v>1</v>
      </c>
      <c r="Z183">
        <v>10</v>
      </c>
    </row>
    <row r="184" spans="1:26" x14ac:dyDescent="0.3">
      <c r="A184">
        <v>2</v>
      </c>
      <c r="B184">
        <v>30</v>
      </c>
      <c r="C184" t="s">
        <v>26</v>
      </c>
      <c r="D184">
        <v>6.2343000000000002</v>
      </c>
      <c r="E184">
        <v>16.04</v>
      </c>
      <c r="F184">
        <v>13.56</v>
      </c>
      <c r="G184">
        <v>19.84</v>
      </c>
      <c r="H184">
        <v>0.36</v>
      </c>
      <c r="I184">
        <v>41</v>
      </c>
      <c r="J184">
        <v>72.11</v>
      </c>
      <c r="K184">
        <v>32.270000000000003</v>
      </c>
      <c r="L184">
        <v>1.5</v>
      </c>
      <c r="M184">
        <v>35</v>
      </c>
      <c r="N184">
        <v>8.34</v>
      </c>
      <c r="O184">
        <v>9127.3799999999992</v>
      </c>
      <c r="P184">
        <v>82.16</v>
      </c>
      <c r="Q184">
        <v>988.17</v>
      </c>
      <c r="R184">
        <v>62.66</v>
      </c>
      <c r="S184">
        <v>35.43</v>
      </c>
      <c r="T184">
        <v>12434.02</v>
      </c>
      <c r="U184">
        <v>0.56999999999999995</v>
      </c>
      <c r="V184">
        <v>0.84</v>
      </c>
      <c r="W184">
        <v>3.03</v>
      </c>
      <c r="X184">
        <v>0.8</v>
      </c>
      <c r="Y184">
        <v>1</v>
      </c>
      <c r="Z184">
        <v>10</v>
      </c>
    </row>
    <row r="185" spans="1:26" x14ac:dyDescent="0.3">
      <c r="A185">
        <v>3</v>
      </c>
      <c r="B185">
        <v>30</v>
      </c>
      <c r="C185" t="s">
        <v>26</v>
      </c>
      <c r="D185">
        <v>6.3097000000000003</v>
      </c>
      <c r="E185">
        <v>15.85</v>
      </c>
      <c r="F185">
        <v>13.46</v>
      </c>
      <c r="G185">
        <v>23.07</v>
      </c>
      <c r="H185">
        <v>0.42</v>
      </c>
      <c r="I185">
        <v>35</v>
      </c>
      <c r="J185">
        <v>72.400000000000006</v>
      </c>
      <c r="K185">
        <v>32.270000000000003</v>
      </c>
      <c r="L185">
        <v>1.75</v>
      </c>
      <c r="M185">
        <v>12</v>
      </c>
      <c r="N185">
        <v>8.3800000000000008</v>
      </c>
      <c r="O185">
        <v>9163.7999999999993</v>
      </c>
      <c r="P185">
        <v>79.05</v>
      </c>
      <c r="Q185">
        <v>988.44</v>
      </c>
      <c r="R185">
        <v>58.85</v>
      </c>
      <c r="S185">
        <v>35.43</v>
      </c>
      <c r="T185">
        <v>10562.98</v>
      </c>
      <c r="U185">
        <v>0.6</v>
      </c>
      <c r="V185">
        <v>0.85</v>
      </c>
      <c r="W185">
        <v>3.05</v>
      </c>
      <c r="X185">
        <v>0.7</v>
      </c>
      <c r="Y185">
        <v>1</v>
      </c>
      <c r="Z185">
        <v>10</v>
      </c>
    </row>
    <row r="186" spans="1:26" x14ac:dyDescent="0.3">
      <c r="A186">
        <v>4</v>
      </c>
      <c r="B186">
        <v>30</v>
      </c>
      <c r="C186" t="s">
        <v>26</v>
      </c>
      <c r="D186">
        <v>6.3223000000000003</v>
      </c>
      <c r="E186">
        <v>15.82</v>
      </c>
      <c r="F186">
        <v>13.44</v>
      </c>
      <c r="G186">
        <v>23.73</v>
      </c>
      <c r="H186">
        <v>0.48</v>
      </c>
      <c r="I186">
        <v>34</v>
      </c>
      <c r="J186">
        <v>72.7</v>
      </c>
      <c r="K186">
        <v>32.270000000000003</v>
      </c>
      <c r="L186">
        <v>2</v>
      </c>
      <c r="M186">
        <v>2</v>
      </c>
      <c r="N186">
        <v>8.43</v>
      </c>
      <c r="O186">
        <v>9200.25</v>
      </c>
      <c r="P186">
        <v>78.459999999999994</v>
      </c>
      <c r="Q186">
        <v>988.3</v>
      </c>
      <c r="R186">
        <v>58.07</v>
      </c>
      <c r="S186">
        <v>35.43</v>
      </c>
      <c r="T186">
        <v>10174.219999999999</v>
      </c>
      <c r="U186">
        <v>0.61</v>
      </c>
      <c r="V186">
        <v>0.85</v>
      </c>
      <c r="W186">
        <v>3.06</v>
      </c>
      <c r="X186">
        <v>0.69</v>
      </c>
      <c r="Y186">
        <v>1</v>
      </c>
      <c r="Z186">
        <v>10</v>
      </c>
    </row>
    <row r="187" spans="1:26" x14ac:dyDescent="0.3">
      <c r="A187">
        <v>5</v>
      </c>
      <c r="B187">
        <v>30</v>
      </c>
      <c r="C187" t="s">
        <v>26</v>
      </c>
      <c r="D187">
        <v>6.3228</v>
      </c>
      <c r="E187">
        <v>15.82</v>
      </c>
      <c r="F187">
        <v>13.44</v>
      </c>
      <c r="G187">
        <v>23.72</v>
      </c>
      <c r="H187">
        <v>0.54</v>
      </c>
      <c r="I187">
        <v>34</v>
      </c>
      <c r="J187">
        <v>73</v>
      </c>
      <c r="K187">
        <v>32.270000000000003</v>
      </c>
      <c r="L187">
        <v>2.25</v>
      </c>
      <c r="M187">
        <v>0</v>
      </c>
      <c r="N187">
        <v>8.48</v>
      </c>
      <c r="O187">
        <v>9236.7099999999991</v>
      </c>
      <c r="P187">
        <v>78.77</v>
      </c>
      <c r="Q187">
        <v>988.29</v>
      </c>
      <c r="R187">
        <v>58.08</v>
      </c>
      <c r="S187">
        <v>35.43</v>
      </c>
      <c r="T187">
        <v>10183.370000000001</v>
      </c>
      <c r="U187">
        <v>0.61</v>
      </c>
      <c r="V187">
        <v>0.85</v>
      </c>
      <c r="W187">
        <v>3.06</v>
      </c>
      <c r="X187">
        <v>0.69</v>
      </c>
      <c r="Y187">
        <v>1</v>
      </c>
      <c r="Z187">
        <v>10</v>
      </c>
    </row>
    <row r="188" spans="1:26" x14ac:dyDescent="0.3">
      <c r="A188">
        <v>0</v>
      </c>
      <c r="B188">
        <v>15</v>
      </c>
      <c r="C188" t="s">
        <v>26</v>
      </c>
      <c r="D188">
        <v>6.0269000000000004</v>
      </c>
      <c r="E188">
        <v>16.59</v>
      </c>
      <c r="F188">
        <v>14.15</v>
      </c>
      <c r="G188">
        <v>12.67</v>
      </c>
      <c r="H188">
        <v>0.43</v>
      </c>
      <c r="I188">
        <v>67</v>
      </c>
      <c r="J188">
        <v>39.78</v>
      </c>
      <c r="K188">
        <v>19.54</v>
      </c>
      <c r="L188">
        <v>1</v>
      </c>
      <c r="M188">
        <v>0</v>
      </c>
      <c r="N188">
        <v>4.24</v>
      </c>
      <c r="O188">
        <v>5140</v>
      </c>
      <c r="P188">
        <v>56.04</v>
      </c>
      <c r="Q188">
        <v>988.4</v>
      </c>
      <c r="R188">
        <v>78.67</v>
      </c>
      <c r="S188">
        <v>35.43</v>
      </c>
      <c r="T188">
        <v>20311.91</v>
      </c>
      <c r="U188">
        <v>0.45</v>
      </c>
      <c r="V188">
        <v>0.81</v>
      </c>
      <c r="W188">
        <v>3.15</v>
      </c>
      <c r="X188">
        <v>1.39</v>
      </c>
      <c r="Y188">
        <v>1</v>
      </c>
      <c r="Z188">
        <v>10</v>
      </c>
    </row>
    <row r="189" spans="1:26" x14ac:dyDescent="0.3">
      <c r="A189">
        <v>0</v>
      </c>
      <c r="B189">
        <v>70</v>
      </c>
      <c r="C189" t="s">
        <v>26</v>
      </c>
      <c r="D189">
        <v>4.7598000000000003</v>
      </c>
      <c r="E189">
        <v>21.01</v>
      </c>
      <c r="F189">
        <v>15.23</v>
      </c>
      <c r="G189">
        <v>7.43</v>
      </c>
      <c r="H189">
        <v>0.12</v>
      </c>
      <c r="I189">
        <v>123</v>
      </c>
      <c r="J189">
        <v>141.81</v>
      </c>
      <c r="K189">
        <v>47.83</v>
      </c>
      <c r="L189">
        <v>1</v>
      </c>
      <c r="M189">
        <v>121</v>
      </c>
      <c r="N189">
        <v>22.98</v>
      </c>
      <c r="O189">
        <v>17723.39</v>
      </c>
      <c r="P189">
        <v>170.38</v>
      </c>
      <c r="Q189">
        <v>988.39</v>
      </c>
      <c r="R189">
        <v>115.01</v>
      </c>
      <c r="S189">
        <v>35.43</v>
      </c>
      <c r="T189">
        <v>38200.589999999997</v>
      </c>
      <c r="U189">
        <v>0.31</v>
      </c>
      <c r="V189">
        <v>0.75</v>
      </c>
      <c r="W189">
        <v>3.16</v>
      </c>
      <c r="X189">
        <v>2.4700000000000002</v>
      </c>
      <c r="Y189">
        <v>1</v>
      </c>
      <c r="Z189">
        <v>10</v>
      </c>
    </row>
    <row r="190" spans="1:26" x14ac:dyDescent="0.3">
      <c r="A190">
        <v>1</v>
      </c>
      <c r="B190">
        <v>70</v>
      </c>
      <c r="C190" t="s">
        <v>26</v>
      </c>
      <c r="D190">
        <v>5.0925000000000002</v>
      </c>
      <c r="E190">
        <v>19.64</v>
      </c>
      <c r="F190">
        <v>14.66</v>
      </c>
      <c r="G190">
        <v>9.26</v>
      </c>
      <c r="H190">
        <v>0.16</v>
      </c>
      <c r="I190">
        <v>95</v>
      </c>
      <c r="J190">
        <v>142.15</v>
      </c>
      <c r="K190">
        <v>47.83</v>
      </c>
      <c r="L190">
        <v>1.25</v>
      </c>
      <c r="M190">
        <v>93</v>
      </c>
      <c r="N190">
        <v>23.07</v>
      </c>
      <c r="O190">
        <v>17765.46</v>
      </c>
      <c r="P190">
        <v>162.75</v>
      </c>
      <c r="Q190">
        <v>988.42</v>
      </c>
      <c r="R190">
        <v>97.05</v>
      </c>
      <c r="S190">
        <v>35.43</v>
      </c>
      <c r="T190">
        <v>29361.1</v>
      </c>
      <c r="U190">
        <v>0.37</v>
      </c>
      <c r="V190">
        <v>0.78</v>
      </c>
      <c r="W190">
        <v>3.12</v>
      </c>
      <c r="X190">
        <v>1.91</v>
      </c>
      <c r="Y190">
        <v>1</v>
      </c>
      <c r="Z190">
        <v>10</v>
      </c>
    </row>
    <row r="191" spans="1:26" x14ac:dyDescent="0.3">
      <c r="A191">
        <v>2</v>
      </c>
      <c r="B191">
        <v>70</v>
      </c>
      <c r="C191" t="s">
        <v>26</v>
      </c>
      <c r="D191">
        <v>5.3461999999999996</v>
      </c>
      <c r="E191">
        <v>18.7</v>
      </c>
      <c r="F191">
        <v>14.28</v>
      </c>
      <c r="G191">
        <v>11.27</v>
      </c>
      <c r="H191">
        <v>0.19</v>
      </c>
      <c r="I191">
        <v>76</v>
      </c>
      <c r="J191">
        <v>142.49</v>
      </c>
      <c r="K191">
        <v>47.83</v>
      </c>
      <c r="L191">
        <v>1.5</v>
      </c>
      <c r="M191">
        <v>74</v>
      </c>
      <c r="N191">
        <v>23.16</v>
      </c>
      <c r="O191">
        <v>17807.560000000001</v>
      </c>
      <c r="P191">
        <v>156.97999999999999</v>
      </c>
      <c r="Q191">
        <v>988.23</v>
      </c>
      <c r="R191">
        <v>85.15</v>
      </c>
      <c r="S191">
        <v>35.43</v>
      </c>
      <c r="T191">
        <v>23507.29</v>
      </c>
      <c r="U191">
        <v>0.42</v>
      </c>
      <c r="V191">
        <v>0.8</v>
      </c>
      <c r="W191">
        <v>3.09</v>
      </c>
      <c r="X191">
        <v>1.53</v>
      </c>
      <c r="Y191">
        <v>1</v>
      </c>
      <c r="Z191">
        <v>10</v>
      </c>
    </row>
    <row r="192" spans="1:26" x14ac:dyDescent="0.3">
      <c r="A192">
        <v>3</v>
      </c>
      <c r="B192">
        <v>70</v>
      </c>
      <c r="C192" t="s">
        <v>26</v>
      </c>
      <c r="D192">
        <v>5.5239000000000003</v>
      </c>
      <c r="E192">
        <v>18.100000000000001</v>
      </c>
      <c r="F192">
        <v>14.03</v>
      </c>
      <c r="G192">
        <v>13.15</v>
      </c>
      <c r="H192">
        <v>0.22</v>
      </c>
      <c r="I192">
        <v>64</v>
      </c>
      <c r="J192">
        <v>142.83000000000001</v>
      </c>
      <c r="K192">
        <v>47.83</v>
      </c>
      <c r="L192">
        <v>1.75</v>
      </c>
      <c r="M192">
        <v>62</v>
      </c>
      <c r="N192">
        <v>23.25</v>
      </c>
      <c r="O192">
        <v>17849.7</v>
      </c>
      <c r="P192">
        <v>152.85</v>
      </c>
      <c r="Q192">
        <v>988.33</v>
      </c>
      <c r="R192">
        <v>77.37</v>
      </c>
      <c r="S192">
        <v>35.43</v>
      </c>
      <c r="T192">
        <v>19675.18</v>
      </c>
      <c r="U192">
        <v>0.46</v>
      </c>
      <c r="V192">
        <v>0.81</v>
      </c>
      <c r="W192">
        <v>3.07</v>
      </c>
      <c r="X192">
        <v>1.27</v>
      </c>
      <c r="Y192">
        <v>1</v>
      </c>
      <c r="Z192">
        <v>10</v>
      </c>
    </row>
    <row r="193" spans="1:26" x14ac:dyDescent="0.3">
      <c r="A193">
        <v>4</v>
      </c>
      <c r="B193">
        <v>70</v>
      </c>
      <c r="C193" t="s">
        <v>26</v>
      </c>
      <c r="D193">
        <v>5.6657999999999999</v>
      </c>
      <c r="E193">
        <v>17.649999999999999</v>
      </c>
      <c r="F193">
        <v>13.83</v>
      </c>
      <c r="G193">
        <v>15.09</v>
      </c>
      <c r="H193">
        <v>0.25</v>
      </c>
      <c r="I193">
        <v>55</v>
      </c>
      <c r="J193">
        <v>143.16999999999999</v>
      </c>
      <c r="K193">
        <v>47.83</v>
      </c>
      <c r="L193">
        <v>2</v>
      </c>
      <c r="M193">
        <v>53</v>
      </c>
      <c r="N193">
        <v>23.34</v>
      </c>
      <c r="O193">
        <v>17891.86</v>
      </c>
      <c r="P193">
        <v>149.29</v>
      </c>
      <c r="Q193">
        <v>988.14</v>
      </c>
      <c r="R193">
        <v>71.23</v>
      </c>
      <c r="S193">
        <v>35.43</v>
      </c>
      <c r="T193">
        <v>16652.96</v>
      </c>
      <c r="U193">
        <v>0.5</v>
      </c>
      <c r="V193">
        <v>0.82</v>
      </c>
      <c r="W193">
        <v>3.05</v>
      </c>
      <c r="X193">
        <v>1.08</v>
      </c>
      <c r="Y193">
        <v>1</v>
      </c>
      <c r="Z193">
        <v>10</v>
      </c>
    </row>
    <row r="194" spans="1:26" x14ac:dyDescent="0.3">
      <c r="A194">
        <v>5</v>
      </c>
      <c r="B194">
        <v>70</v>
      </c>
      <c r="C194" t="s">
        <v>26</v>
      </c>
      <c r="D194">
        <v>5.7770000000000001</v>
      </c>
      <c r="E194">
        <v>17.309999999999999</v>
      </c>
      <c r="F194">
        <v>13.7</v>
      </c>
      <c r="G194">
        <v>17.12</v>
      </c>
      <c r="H194">
        <v>0.28000000000000003</v>
      </c>
      <c r="I194">
        <v>48</v>
      </c>
      <c r="J194">
        <v>143.51</v>
      </c>
      <c r="K194">
        <v>47.83</v>
      </c>
      <c r="L194">
        <v>2.25</v>
      </c>
      <c r="M194">
        <v>46</v>
      </c>
      <c r="N194">
        <v>23.44</v>
      </c>
      <c r="O194">
        <v>17934.060000000001</v>
      </c>
      <c r="P194">
        <v>146.25</v>
      </c>
      <c r="Q194">
        <v>988.27</v>
      </c>
      <c r="R194">
        <v>67.05</v>
      </c>
      <c r="S194">
        <v>35.43</v>
      </c>
      <c r="T194">
        <v>14596.83</v>
      </c>
      <c r="U194">
        <v>0.53</v>
      </c>
      <c r="V194">
        <v>0.83</v>
      </c>
      <c r="W194">
        <v>3.04</v>
      </c>
      <c r="X194">
        <v>0.94</v>
      </c>
      <c r="Y194">
        <v>1</v>
      </c>
      <c r="Z194">
        <v>10</v>
      </c>
    </row>
    <row r="195" spans="1:26" x14ac:dyDescent="0.3">
      <c r="A195">
        <v>6</v>
      </c>
      <c r="B195">
        <v>70</v>
      </c>
      <c r="C195" t="s">
        <v>26</v>
      </c>
      <c r="D195">
        <v>5.8806000000000003</v>
      </c>
      <c r="E195">
        <v>17</v>
      </c>
      <c r="F195">
        <v>13.56</v>
      </c>
      <c r="G195">
        <v>19.38</v>
      </c>
      <c r="H195">
        <v>0.31</v>
      </c>
      <c r="I195">
        <v>42</v>
      </c>
      <c r="J195">
        <v>143.86000000000001</v>
      </c>
      <c r="K195">
        <v>47.83</v>
      </c>
      <c r="L195">
        <v>2.5</v>
      </c>
      <c r="M195">
        <v>40</v>
      </c>
      <c r="N195">
        <v>23.53</v>
      </c>
      <c r="O195">
        <v>17976.29</v>
      </c>
      <c r="P195">
        <v>143.08000000000001</v>
      </c>
      <c r="Q195">
        <v>988.12</v>
      </c>
      <c r="R195">
        <v>63.28</v>
      </c>
      <c r="S195">
        <v>35.43</v>
      </c>
      <c r="T195">
        <v>12740.6</v>
      </c>
      <c r="U195">
        <v>0.56000000000000005</v>
      </c>
      <c r="V195">
        <v>0.84</v>
      </c>
      <c r="W195">
        <v>3.02</v>
      </c>
      <c r="X195">
        <v>0.81</v>
      </c>
      <c r="Y195">
        <v>1</v>
      </c>
      <c r="Z195">
        <v>10</v>
      </c>
    </row>
    <row r="196" spans="1:26" x14ac:dyDescent="0.3">
      <c r="A196">
        <v>7</v>
      </c>
      <c r="B196">
        <v>70</v>
      </c>
      <c r="C196" t="s">
        <v>26</v>
      </c>
      <c r="D196">
        <v>5.9462999999999999</v>
      </c>
      <c r="E196">
        <v>16.82</v>
      </c>
      <c r="F196">
        <v>13.49</v>
      </c>
      <c r="G196">
        <v>21.3</v>
      </c>
      <c r="H196">
        <v>0.34</v>
      </c>
      <c r="I196">
        <v>38</v>
      </c>
      <c r="J196">
        <v>144.19999999999999</v>
      </c>
      <c r="K196">
        <v>47.83</v>
      </c>
      <c r="L196">
        <v>2.75</v>
      </c>
      <c r="M196">
        <v>36</v>
      </c>
      <c r="N196">
        <v>23.62</v>
      </c>
      <c r="O196">
        <v>18018.55</v>
      </c>
      <c r="P196">
        <v>141.19999999999999</v>
      </c>
      <c r="Q196">
        <v>988.14</v>
      </c>
      <c r="R196">
        <v>60.53</v>
      </c>
      <c r="S196">
        <v>35.43</v>
      </c>
      <c r="T196">
        <v>11388.32</v>
      </c>
      <c r="U196">
        <v>0.59</v>
      </c>
      <c r="V196">
        <v>0.84</v>
      </c>
      <c r="W196">
        <v>3.03</v>
      </c>
      <c r="X196">
        <v>0.74</v>
      </c>
      <c r="Y196">
        <v>1</v>
      </c>
      <c r="Z196">
        <v>10</v>
      </c>
    </row>
    <row r="197" spans="1:26" x14ac:dyDescent="0.3">
      <c r="A197">
        <v>8</v>
      </c>
      <c r="B197">
        <v>70</v>
      </c>
      <c r="C197" t="s">
        <v>26</v>
      </c>
      <c r="D197">
        <v>5.9978999999999996</v>
      </c>
      <c r="E197">
        <v>16.670000000000002</v>
      </c>
      <c r="F197">
        <v>13.43</v>
      </c>
      <c r="G197">
        <v>23.03</v>
      </c>
      <c r="H197">
        <v>0.37</v>
      </c>
      <c r="I197">
        <v>35</v>
      </c>
      <c r="J197">
        <v>144.54</v>
      </c>
      <c r="K197">
        <v>47.83</v>
      </c>
      <c r="L197">
        <v>3</v>
      </c>
      <c r="M197">
        <v>33</v>
      </c>
      <c r="N197">
        <v>23.71</v>
      </c>
      <c r="O197">
        <v>18060.849999999999</v>
      </c>
      <c r="P197">
        <v>138.99</v>
      </c>
      <c r="Q197">
        <v>988.28</v>
      </c>
      <c r="R197">
        <v>58.86</v>
      </c>
      <c r="S197">
        <v>35.43</v>
      </c>
      <c r="T197">
        <v>10564.85</v>
      </c>
      <c r="U197">
        <v>0.6</v>
      </c>
      <c r="V197">
        <v>0.85</v>
      </c>
      <c r="W197">
        <v>3.02</v>
      </c>
      <c r="X197">
        <v>0.68</v>
      </c>
      <c r="Y197">
        <v>1</v>
      </c>
      <c r="Z197">
        <v>10</v>
      </c>
    </row>
    <row r="198" spans="1:26" x14ac:dyDescent="0.3">
      <c r="A198">
        <v>9</v>
      </c>
      <c r="B198">
        <v>70</v>
      </c>
      <c r="C198" t="s">
        <v>26</v>
      </c>
      <c r="D198">
        <v>6.0511999999999997</v>
      </c>
      <c r="E198">
        <v>16.53</v>
      </c>
      <c r="F198">
        <v>13.37</v>
      </c>
      <c r="G198">
        <v>25.07</v>
      </c>
      <c r="H198">
        <v>0.4</v>
      </c>
      <c r="I198">
        <v>32</v>
      </c>
      <c r="J198">
        <v>144.88999999999999</v>
      </c>
      <c r="K198">
        <v>47.83</v>
      </c>
      <c r="L198">
        <v>3.25</v>
      </c>
      <c r="M198">
        <v>30</v>
      </c>
      <c r="N198">
        <v>23.81</v>
      </c>
      <c r="O198">
        <v>18103.18</v>
      </c>
      <c r="P198">
        <v>136.63</v>
      </c>
      <c r="Q198">
        <v>988.19</v>
      </c>
      <c r="R198">
        <v>57.2</v>
      </c>
      <c r="S198">
        <v>35.43</v>
      </c>
      <c r="T198">
        <v>9749.02</v>
      </c>
      <c r="U198">
        <v>0.62</v>
      </c>
      <c r="V198">
        <v>0.85</v>
      </c>
      <c r="W198">
        <v>3.01</v>
      </c>
      <c r="X198">
        <v>0.62</v>
      </c>
      <c r="Y198">
        <v>1</v>
      </c>
      <c r="Z198">
        <v>10</v>
      </c>
    </row>
    <row r="199" spans="1:26" x14ac:dyDescent="0.3">
      <c r="A199">
        <v>10</v>
      </c>
      <c r="B199">
        <v>70</v>
      </c>
      <c r="C199" t="s">
        <v>26</v>
      </c>
      <c r="D199">
        <v>6.1045999999999996</v>
      </c>
      <c r="E199">
        <v>16.38</v>
      </c>
      <c r="F199">
        <v>13.31</v>
      </c>
      <c r="G199">
        <v>27.55</v>
      </c>
      <c r="H199">
        <v>0.43</v>
      </c>
      <c r="I199">
        <v>29</v>
      </c>
      <c r="J199">
        <v>145.22999999999999</v>
      </c>
      <c r="K199">
        <v>47.83</v>
      </c>
      <c r="L199">
        <v>3.5</v>
      </c>
      <c r="M199">
        <v>27</v>
      </c>
      <c r="N199">
        <v>23.9</v>
      </c>
      <c r="O199">
        <v>18145.54</v>
      </c>
      <c r="P199">
        <v>134.69</v>
      </c>
      <c r="Q199">
        <v>988.19</v>
      </c>
      <c r="R199">
        <v>55.21</v>
      </c>
      <c r="S199">
        <v>35.43</v>
      </c>
      <c r="T199">
        <v>8772.16</v>
      </c>
      <c r="U199">
        <v>0.64</v>
      </c>
      <c r="V199">
        <v>0.86</v>
      </c>
      <c r="W199">
        <v>3.01</v>
      </c>
      <c r="X199">
        <v>0.56000000000000005</v>
      </c>
      <c r="Y199">
        <v>1</v>
      </c>
      <c r="Z199">
        <v>10</v>
      </c>
    </row>
    <row r="200" spans="1:26" x14ac:dyDescent="0.3">
      <c r="A200">
        <v>11</v>
      </c>
      <c r="B200">
        <v>70</v>
      </c>
      <c r="C200" t="s">
        <v>26</v>
      </c>
      <c r="D200">
        <v>6.1426999999999996</v>
      </c>
      <c r="E200">
        <v>16.28</v>
      </c>
      <c r="F200">
        <v>13.27</v>
      </c>
      <c r="G200">
        <v>29.49</v>
      </c>
      <c r="H200">
        <v>0.46</v>
      </c>
      <c r="I200">
        <v>27</v>
      </c>
      <c r="J200">
        <v>145.57</v>
      </c>
      <c r="K200">
        <v>47.83</v>
      </c>
      <c r="L200">
        <v>3.75</v>
      </c>
      <c r="M200">
        <v>25</v>
      </c>
      <c r="N200">
        <v>23.99</v>
      </c>
      <c r="O200">
        <v>18187.93</v>
      </c>
      <c r="P200">
        <v>132.59</v>
      </c>
      <c r="Q200">
        <v>988.18</v>
      </c>
      <c r="R200">
        <v>53.59</v>
      </c>
      <c r="S200">
        <v>35.43</v>
      </c>
      <c r="T200">
        <v>7972.3</v>
      </c>
      <c r="U200">
        <v>0.66</v>
      </c>
      <c r="V200">
        <v>0.86</v>
      </c>
      <c r="W200">
        <v>3.01</v>
      </c>
      <c r="X200">
        <v>0.52</v>
      </c>
      <c r="Y200">
        <v>1</v>
      </c>
      <c r="Z200">
        <v>10</v>
      </c>
    </row>
    <row r="201" spans="1:26" x14ac:dyDescent="0.3">
      <c r="A201">
        <v>12</v>
      </c>
      <c r="B201">
        <v>70</v>
      </c>
      <c r="C201" t="s">
        <v>26</v>
      </c>
      <c r="D201">
        <v>6.1773999999999996</v>
      </c>
      <c r="E201">
        <v>16.190000000000001</v>
      </c>
      <c r="F201">
        <v>13.24</v>
      </c>
      <c r="G201">
        <v>31.77</v>
      </c>
      <c r="H201">
        <v>0.49</v>
      </c>
      <c r="I201">
        <v>25</v>
      </c>
      <c r="J201">
        <v>145.91999999999999</v>
      </c>
      <c r="K201">
        <v>47.83</v>
      </c>
      <c r="L201">
        <v>4</v>
      </c>
      <c r="M201">
        <v>23</v>
      </c>
      <c r="N201">
        <v>24.09</v>
      </c>
      <c r="O201">
        <v>18230.349999999999</v>
      </c>
      <c r="P201">
        <v>130.52000000000001</v>
      </c>
      <c r="Q201">
        <v>988.14</v>
      </c>
      <c r="R201">
        <v>52.93</v>
      </c>
      <c r="S201">
        <v>35.43</v>
      </c>
      <c r="T201">
        <v>7648.86</v>
      </c>
      <c r="U201">
        <v>0.67</v>
      </c>
      <c r="V201">
        <v>0.86</v>
      </c>
      <c r="W201">
        <v>3</v>
      </c>
      <c r="X201">
        <v>0.48</v>
      </c>
      <c r="Y201">
        <v>1</v>
      </c>
      <c r="Z201">
        <v>10</v>
      </c>
    </row>
    <row r="202" spans="1:26" x14ac:dyDescent="0.3">
      <c r="A202">
        <v>13</v>
      </c>
      <c r="B202">
        <v>70</v>
      </c>
      <c r="C202" t="s">
        <v>26</v>
      </c>
      <c r="D202">
        <v>6.2183000000000002</v>
      </c>
      <c r="E202">
        <v>16.079999999999998</v>
      </c>
      <c r="F202">
        <v>13.19</v>
      </c>
      <c r="G202">
        <v>34.409999999999997</v>
      </c>
      <c r="H202">
        <v>0.51</v>
      </c>
      <c r="I202">
        <v>23</v>
      </c>
      <c r="J202">
        <v>146.26</v>
      </c>
      <c r="K202">
        <v>47.83</v>
      </c>
      <c r="L202">
        <v>4.25</v>
      </c>
      <c r="M202">
        <v>21</v>
      </c>
      <c r="N202">
        <v>24.18</v>
      </c>
      <c r="O202">
        <v>18272.810000000001</v>
      </c>
      <c r="P202">
        <v>128.51</v>
      </c>
      <c r="Q202">
        <v>988.13</v>
      </c>
      <c r="R202">
        <v>51.36</v>
      </c>
      <c r="S202">
        <v>35.43</v>
      </c>
      <c r="T202">
        <v>6874.7</v>
      </c>
      <c r="U202">
        <v>0.69</v>
      </c>
      <c r="V202">
        <v>0.86</v>
      </c>
      <c r="W202">
        <v>3</v>
      </c>
      <c r="X202">
        <v>0.43</v>
      </c>
      <c r="Y202">
        <v>1</v>
      </c>
      <c r="Z202">
        <v>10</v>
      </c>
    </row>
    <row r="203" spans="1:26" x14ac:dyDescent="0.3">
      <c r="A203">
        <v>14</v>
      </c>
      <c r="B203">
        <v>70</v>
      </c>
      <c r="C203" t="s">
        <v>26</v>
      </c>
      <c r="D203">
        <v>6.2370999999999999</v>
      </c>
      <c r="E203">
        <v>16.03</v>
      </c>
      <c r="F203">
        <v>13.17</v>
      </c>
      <c r="G203">
        <v>35.92</v>
      </c>
      <c r="H203">
        <v>0.54</v>
      </c>
      <c r="I203">
        <v>22</v>
      </c>
      <c r="J203">
        <v>146.61000000000001</v>
      </c>
      <c r="K203">
        <v>47.83</v>
      </c>
      <c r="L203">
        <v>4.5</v>
      </c>
      <c r="M203">
        <v>20</v>
      </c>
      <c r="N203">
        <v>24.28</v>
      </c>
      <c r="O203">
        <v>18315.3</v>
      </c>
      <c r="P203">
        <v>126.49</v>
      </c>
      <c r="Q203">
        <v>988.16</v>
      </c>
      <c r="R203">
        <v>50.71</v>
      </c>
      <c r="S203">
        <v>35.43</v>
      </c>
      <c r="T203">
        <v>6554.81</v>
      </c>
      <c r="U203">
        <v>0.7</v>
      </c>
      <c r="V203">
        <v>0.87</v>
      </c>
      <c r="W203">
        <v>3</v>
      </c>
      <c r="X203">
        <v>0.41</v>
      </c>
      <c r="Y203">
        <v>1</v>
      </c>
      <c r="Z203">
        <v>10</v>
      </c>
    </row>
    <row r="204" spans="1:26" x14ac:dyDescent="0.3">
      <c r="A204">
        <v>15</v>
      </c>
      <c r="B204">
        <v>70</v>
      </c>
      <c r="C204" t="s">
        <v>26</v>
      </c>
      <c r="D204">
        <v>6.2793000000000001</v>
      </c>
      <c r="E204">
        <v>15.93</v>
      </c>
      <c r="F204">
        <v>13.12</v>
      </c>
      <c r="G204">
        <v>39.36</v>
      </c>
      <c r="H204">
        <v>0.56999999999999995</v>
      </c>
      <c r="I204">
        <v>20</v>
      </c>
      <c r="J204">
        <v>146.94999999999999</v>
      </c>
      <c r="K204">
        <v>47.83</v>
      </c>
      <c r="L204">
        <v>4.75</v>
      </c>
      <c r="M204">
        <v>18</v>
      </c>
      <c r="N204">
        <v>24.37</v>
      </c>
      <c r="O204">
        <v>18357.82</v>
      </c>
      <c r="P204">
        <v>124.59</v>
      </c>
      <c r="Q204">
        <v>988.1</v>
      </c>
      <c r="R204">
        <v>49.07</v>
      </c>
      <c r="S204">
        <v>35.43</v>
      </c>
      <c r="T204">
        <v>5745.18</v>
      </c>
      <c r="U204">
        <v>0.72</v>
      </c>
      <c r="V204">
        <v>0.87</v>
      </c>
      <c r="W204">
        <v>3</v>
      </c>
      <c r="X204">
        <v>0.37</v>
      </c>
      <c r="Y204">
        <v>1</v>
      </c>
      <c r="Z204">
        <v>10</v>
      </c>
    </row>
    <row r="205" spans="1:26" x14ac:dyDescent="0.3">
      <c r="A205">
        <v>16</v>
      </c>
      <c r="B205">
        <v>70</v>
      </c>
      <c r="C205" t="s">
        <v>26</v>
      </c>
      <c r="D205">
        <v>6.2945000000000002</v>
      </c>
      <c r="E205">
        <v>15.89</v>
      </c>
      <c r="F205">
        <v>13.11</v>
      </c>
      <c r="G205">
        <v>41.4</v>
      </c>
      <c r="H205">
        <v>0.6</v>
      </c>
      <c r="I205">
        <v>19</v>
      </c>
      <c r="J205">
        <v>147.30000000000001</v>
      </c>
      <c r="K205">
        <v>47.83</v>
      </c>
      <c r="L205">
        <v>5</v>
      </c>
      <c r="M205">
        <v>17</v>
      </c>
      <c r="N205">
        <v>24.47</v>
      </c>
      <c r="O205">
        <v>18400.38</v>
      </c>
      <c r="P205">
        <v>121.77</v>
      </c>
      <c r="Q205">
        <v>988.18</v>
      </c>
      <c r="R205">
        <v>48.94</v>
      </c>
      <c r="S205">
        <v>35.43</v>
      </c>
      <c r="T205">
        <v>5687.87</v>
      </c>
      <c r="U205">
        <v>0.72</v>
      </c>
      <c r="V205">
        <v>0.87</v>
      </c>
      <c r="W205">
        <v>2.99</v>
      </c>
      <c r="X205">
        <v>0.36</v>
      </c>
      <c r="Y205">
        <v>1</v>
      </c>
      <c r="Z205">
        <v>10</v>
      </c>
    </row>
    <row r="206" spans="1:26" x14ac:dyDescent="0.3">
      <c r="A206">
        <v>17</v>
      </c>
      <c r="B206">
        <v>70</v>
      </c>
      <c r="C206" t="s">
        <v>26</v>
      </c>
      <c r="D206">
        <v>6.3121</v>
      </c>
      <c r="E206">
        <v>15.84</v>
      </c>
      <c r="F206">
        <v>13.09</v>
      </c>
      <c r="G206">
        <v>43.65</v>
      </c>
      <c r="H206">
        <v>0.63</v>
      </c>
      <c r="I206">
        <v>18</v>
      </c>
      <c r="J206">
        <v>147.63999999999999</v>
      </c>
      <c r="K206">
        <v>47.83</v>
      </c>
      <c r="L206">
        <v>5.25</v>
      </c>
      <c r="M206">
        <v>16</v>
      </c>
      <c r="N206">
        <v>24.56</v>
      </c>
      <c r="O206">
        <v>18442.97</v>
      </c>
      <c r="P206">
        <v>120.25</v>
      </c>
      <c r="Q206">
        <v>988.08</v>
      </c>
      <c r="R206">
        <v>48.27</v>
      </c>
      <c r="S206">
        <v>35.43</v>
      </c>
      <c r="T206">
        <v>5356.05</v>
      </c>
      <c r="U206">
        <v>0.73</v>
      </c>
      <c r="V206">
        <v>0.87</v>
      </c>
      <c r="W206">
        <v>3</v>
      </c>
      <c r="X206">
        <v>0.34</v>
      </c>
      <c r="Y206">
        <v>1</v>
      </c>
      <c r="Z206">
        <v>10</v>
      </c>
    </row>
    <row r="207" spans="1:26" x14ac:dyDescent="0.3">
      <c r="A207">
        <v>18</v>
      </c>
      <c r="B207">
        <v>70</v>
      </c>
      <c r="C207" t="s">
        <v>26</v>
      </c>
      <c r="D207">
        <v>6.3292999999999999</v>
      </c>
      <c r="E207">
        <v>15.8</v>
      </c>
      <c r="F207">
        <v>13.08</v>
      </c>
      <c r="G207">
        <v>46.16</v>
      </c>
      <c r="H207">
        <v>0.66</v>
      </c>
      <c r="I207">
        <v>17</v>
      </c>
      <c r="J207">
        <v>147.99</v>
      </c>
      <c r="K207">
        <v>47.83</v>
      </c>
      <c r="L207">
        <v>5.5</v>
      </c>
      <c r="M207">
        <v>13</v>
      </c>
      <c r="N207">
        <v>24.66</v>
      </c>
      <c r="O207">
        <v>18485.59</v>
      </c>
      <c r="P207">
        <v>117.76</v>
      </c>
      <c r="Q207">
        <v>988.15</v>
      </c>
      <c r="R207">
        <v>47.98</v>
      </c>
      <c r="S207">
        <v>35.43</v>
      </c>
      <c r="T207">
        <v>5215.12</v>
      </c>
      <c r="U207">
        <v>0.74</v>
      </c>
      <c r="V207">
        <v>0.87</v>
      </c>
      <c r="W207">
        <v>2.99</v>
      </c>
      <c r="X207">
        <v>0.33</v>
      </c>
      <c r="Y207">
        <v>1</v>
      </c>
      <c r="Z207">
        <v>10</v>
      </c>
    </row>
    <row r="208" spans="1:26" x14ac:dyDescent="0.3">
      <c r="A208">
        <v>19</v>
      </c>
      <c r="B208">
        <v>70</v>
      </c>
      <c r="C208" t="s">
        <v>26</v>
      </c>
      <c r="D208">
        <v>6.3489000000000004</v>
      </c>
      <c r="E208">
        <v>15.75</v>
      </c>
      <c r="F208">
        <v>13.06</v>
      </c>
      <c r="G208">
        <v>48.98</v>
      </c>
      <c r="H208">
        <v>0.69</v>
      </c>
      <c r="I208">
        <v>16</v>
      </c>
      <c r="J208">
        <v>148.33000000000001</v>
      </c>
      <c r="K208">
        <v>47.83</v>
      </c>
      <c r="L208">
        <v>5.75</v>
      </c>
      <c r="M208">
        <v>8</v>
      </c>
      <c r="N208">
        <v>24.75</v>
      </c>
      <c r="O208">
        <v>18528.25</v>
      </c>
      <c r="P208">
        <v>116.81</v>
      </c>
      <c r="Q208">
        <v>988.1</v>
      </c>
      <c r="R208">
        <v>46.97</v>
      </c>
      <c r="S208">
        <v>35.43</v>
      </c>
      <c r="T208">
        <v>4714.33</v>
      </c>
      <c r="U208">
        <v>0.75</v>
      </c>
      <c r="V208">
        <v>0.87</v>
      </c>
      <c r="W208">
        <v>3</v>
      </c>
      <c r="X208">
        <v>0.31</v>
      </c>
      <c r="Y208">
        <v>1</v>
      </c>
      <c r="Z208">
        <v>10</v>
      </c>
    </row>
    <row r="209" spans="1:26" x14ac:dyDescent="0.3">
      <c r="A209">
        <v>20</v>
      </c>
      <c r="B209">
        <v>70</v>
      </c>
      <c r="C209" t="s">
        <v>26</v>
      </c>
      <c r="D209">
        <v>6.3398000000000003</v>
      </c>
      <c r="E209">
        <v>15.77</v>
      </c>
      <c r="F209">
        <v>13.08</v>
      </c>
      <c r="G209">
        <v>49.06</v>
      </c>
      <c r="H209">
        <v>0.71</v>
      </c>
      <c r="I209">
        <v>16</v>
      </c>
      <c r="J209">
        <v>148.68</v>
      </c>
      <c r="K209">
        <v>47.83</v>
      </c>
      <c r="L209">
        <v>6</v>
      </c>
      <c r="M209">
        <v>3</v>
      </c>
      <c r="N209">
        <v>24.85</v>
      </c>
      <c r="O209">
        <v>18570.939999999999</v>
      </c>
      <c r="P209">
        <v>115.97</v>
      </c>
      <c r="Q209">
        <v>988.09</v>
      </c>
      <c r="R209">
        <v>47.51</v>
      </c>
      <c r="S209">
        <v>35.43</v>
      </c>
      <c r="T209">
        <v>4986.78</v>
      </c>
      <c r="U209">
        <v>0.75</v>
      </c>
      <c r="V209">
        <v>0.87</v>
      </c>
      <c r="W209">
        <v>3.01</v>
      </c>
      <c r="X209">
        <v>0.33</v>
      </c>
      <c r="Y209">
        <v>1</v>
      </c>
      <c r="Z209">
        <v>10</v>
      </c>
    </row>
    <row r="210" spans="1:26" x14ac:dyDescent="0.3">
      <c r="A210">
        <v>21</v>
      </c>
      <c r="B210">
        <v>70</v>
      </c>
      <c r="C210" t="s">
        <v>26</v>
      </c>
      <c r="D210">
        <v>6.3426</v>
      </c>
      <c r="E210">
        <v>15.77</v>
      </c>
      <c r="F210">
        <v>13.08</v>
      </c>
      <c r="G210">
        <v>49.03</v>
      </c>
      <c r="H210">
        <v>0.74</v>
      </c>
      <c r="I210">
        <v>16</v>
      </c>
      <c r="J210">
        <v>149.02000000000001</v>
      </c>
      <c r="K210">
        <v>47.83</v>
      </c>
      <c r="L210">
        <v>6.25</v>
      </c>
      <c r="M210">
        <v>1</v>
      </c>
      <c r="N210">
        <v>24.95</v>
      </c>
      <c r="O210">
        <v>18613.66</v>
      </c>
      <c r="P210">
        <v>116.03</v>
      </c>
      <c r="Q210">
        <v>988.17</v>
      </c>
      <c r="R210">
        <v>47.29</v>
      </c>
      <c r="S210">
        <v>35.43</v>
      </c>
      <c r="T210">
        <v>4876.43</v>
      </c>
      <c r="U210">
        <v>0.75</v>
      </c>
      <c r="V210">
        <v>0.87</v>
      </c>
      <c r="W210">
        <v>3.01</v>
      </c>
      <c r="X210">
        <v>0.32</v>
      </c>
      <c r="Y210">
        <v>1</v>
      </c>
      <c r="Z210">
        <v>10</v>
      </c>
    </row>
    <row r="211" spans="1:26" x14ac:dyDescent="0.3">
      <c r="A211">
        <v>22</v>
      </c>
      <c r="B211">
        <v>70</v>
      </c>
      <c r="C211" t="s">
        <v>26</v>
      </c>
      <c r="D211">
        <v>6.3426999999999998</v>
      </c>
      <c r="E211">
        <v>15.77</v>
      </c>
      <c r="F211">
        <v>13.08</v>
      </c>
      <c r="G211">
        <v>49.03</v>
      </c>
      <c r="H211">
        <v>0.77</v>
      </c>
      <c r="I211">
        <v>16</v>
      </c>
      <c r="J211">
        <v>149.37</v>
      </c>
      <c r="K211">
        <v>47.83</v>
      </c>
      <c r="L211">
        <v>6.5</v>
      </c>
      <c r="M211">
        <v>1</v>
      </c>
      <c r="N211">
        <v>25.04</v>
      </c>
      <c r="O211">
        <v>18656.419999999998</v>
      </c>
      <c r="P211">
        <v>116.07</v>
      </c>
      <c r="Q211">
        <v>988.17</v>
      </c>
      <c r="R211">
        <v>47.33</v>
      </c>
      <c r="S211">
        <v>35.43</v>
      </c>
      <c r="T211">
        <v>4898.13</v>
      </c>
      <c r="U211">
        <v>0.75</v>
      </c>
      <c r="V211">
        <v>0.87</v>
      </c>
      <c r="W211">
        <v>3.01</v>
      </c>
      <c r="X211">
        <v>0.32</v>
      </c>
      <c r="Y211">
        <v>1</v>
      </c>
      <c r="Z211">
        <v>10</v>
      </c>
    </row>
    <row r="212" spans="1:26" x14ac:dyDescent="0.3">
      <c r="A212">
        <v>23</v>
      </c>
      <c r="B212">
        <v>70</v>
      </c>
      <c r="C212" t="s">
        <v>26</v>
      </c>
      <c r="D212">
        <v>6.3415999999999997</v>
      </c>
      <c r="E212">
        <v>15.77</v>
      </c>
      <c r="F212">
        <v>13.08</v>
      </c>
      <c r="G212">
        <v>49.04</v>
      </c>
      <c r="H212">
        <v>0.8</v>
      </c>
      <c r="I212">
        <v>16</v>
      </c>
      <c r="J212">
        <v>149.72</v>
      </c>
      <c r="K212">
        <v>47.83</v>
      </c>
      <c r="L212">
        <v>6.75</v>
      </c>
      <c r="M212">
        <v>0</v>
      </c>
      <c r="N212">
        <v>25.14</v>
      </c>
      <c r="O212">
        <v>18699.2</v>
      </c>
      <c r="P212">
        <v>116.09</v>
      </c>
      <c r="Q212">
        <v>988.17</v>
      </c>
      <c r="R212">
        <v>47.37</v>
      </c>
      <c r="S212">
        <v>35.43</v>
      </c>
      <c r="T212">
        <v>4918.17</v>
      </c>
      <c r="U212">
        <v>0.75</v>
      </c>
      <c r="V212">
        <v>0.87</v>
      </c>
      <c r="W212">
        <v>3.01</v>
      </c>
      <c r="X212">
        <v>0.32</v>
      </c>
      <c r="Y212">
        <v>1</v>
      </c>
      <c r="Z212">
        <v>10</v>
      </c>
    </row>
    <row r="213" spans="1:26" x14ac:dyDescent="0.3">
      <c r="A213">
        <v>0</v>
      </c>
      <c r="B213">
        <v>90</v>
      </c>
      <c r="C213" t="s">
        <v>26</v>
      </c>
      <c r="D213">
        <v>4.2602000000000002</v>
      </c>
      <c r="E213">
        <v>23.47</v>
      </c>
      <c r="F213">
        <v>15.79</v>
      </c>
      <c r="G213">
        <v>6.4</v>
      </c>
      <c r="H213">
        <v>0.1</v>
      </c>
      <c r="I213">
        <v>148</v>
      </c>
      <c r="J213">
        <v>176.73</v>
      </c>
      <c r="K213">
        <v>52.44</v>
      </c>
      <c r="L213">
        <v>1</v>
      </c>
      <c r="M213">
        <v>146</v>
      </c>
      <c r="N213">
        <v>33.29</v>
      </c>
      <c r="O213">
        <v>22031.19</v>
      </c>
      <c r="P213">
        <v>205.44</v>
      </c>
      <c r="Q213">
        <v>988.72</v>
      </c>
      <c r="R213">
        <v>131.74</v>
      </c>
      <c r="S213">
        <v>35.43</v>
      </c>
      <c r="T213">
        <v>46441.94</v>
      </c>
      <c r="U213">
        <v>0.27</v>
      </c>
      <c r="V213">
        <v>0.72</v>
      </c>
      <c r="W213">
        <v>3.22</v>
      </c>
      <c r="X213">
        <v>3.03</v>
      </c>
      <c r="Y213">
        <v>1</v>
      </c>
      <c r="Z213">
        <v>10</v>
      </c>
    </row>
    <row r="214" spans="1:26" x14ac:dyDescent="0.3">
      <c r="A214">
        <v>1</v>
      </c>
      <c r="B214">
        <v>90</v>
      </c>
      <c r="C214" t="s">
        <v>26</v>
      </c>
      <c r="D214">
        <v>4.6593</v>
      </c>
      <c r="E214">
        <v>21.46</v>
      </c>
      <c r="F214">
        <v>15.02</v>
      </c>
      <c r="G214">
        <v>7.98</v>
      </c>
      <c r="H214">
        <v>0.13</v>
      </c>
      <c r="I214">
        <v>113</v>
      </c>
      <c r="J214">
        <v>177.1</v>
      </c>
      <c r="K214">
        <v>52.44</v>
      </c>
      <c r="L214">
        <v>1.25</v>
      </c>
      <c r="M214">
        <v>111</v>
      </c>
      <c r="N214">
        <v>33.409999999999997</v>
      </c>
      <c r="O214">
        <v>22076.81</v>
      </c>
      <c r="P214">
        <v>194.3</v>
      </c>
      <c r="Q214">
        <v>988.47</v>
      </c>
      <c r="R214">
        <v>108.49</v>
      </c>
      <c r="S214">
        <v>35.43</v>
      </c>
      <c r="T214">
        <v>34990.160000000003</v>
      </c>
      <c r="U214">
        <v>0.33</v>
      </c>
      <c r="V214">
        <v>0.76</v>
      </c>
      <c r="W214">
        <v>3.14</v>
      </c>
      <c r="X214">
        <v>2.27</v>
      </c>
      <c r="Y214">
        <v>1</v>
      </c>
      <c r="Z214">
        <v>10</v>
      </c>
    </row>
    <row r="215" spans="1:26" x14ac:dyDescent="0.3">
      <c r="A215">
        <v>2</v>
      </c>
      <c r="B215">
        <v>90</v>
      </c>
      <c r="C215" t="s">
        <v>26</v>
      </c>
      <c r="D215">
        <v>4.9432999999999998</v>
      </c>
      <c r="E215">
        <v>20.23</v>
      </c>
      <c r="F215">
        <v>14.57</v>
      </c>
      <c r="G215">
        <v>9.61</v>
      </c>
      <c r="H215">
        <v>0.15</v>
      </c>
      <c r="I215">
        <v>91</v>
      </c>
      <c r="J215">
        <v>177.47</v>
      </c>
      <c r="K215">
        <v>52.44</v>
      </c>
      <c r="L215">
        <v>1.5</v>
      </c>
      <c r="M215">
        <v>89</v>
      </c>
      <c r="N215">
        <v>33.53</v>
      </c>
      <c r="O215">
        <v>22122.46</v>
      </c>
      <c r="P215">
        <v>187.47</v>
      </c>
      <c r="Q215">
        <v>988.38</v>
      </c>
      <c r="R215">
        <v>94.31</v>
      </c>
      <c r="S215">
        <v>35.43</v>
      </c>
      <c r="T215">
        <v>28012.12</v>
      </c>
      <c r="U215">
        <v>0.38</v>
      </c>
      <c r="V215">
        <v>0.78</v>
      </c>
      <c r="W215">
        <v>3.11</v>
      </c>
      <c r="X215">
        <v>1.82</v>
      </c>
      <c r="Y215">
        <v>1</v>
      </c>
      <c r="Z215">
        <v>10</v>
      </c>
    </row>
    <row r="216" spans="1:26" x14ac:dyDescent="0.3">
      <c r="A216">
        <v>3</v>
      </c>
      <c r="B216">
        <v>90</v>
      </c>
      <c r="C216" t="s">
        <v>26</v>
      </c>
      <c r="D216">
        <v>5.1528999999999998</v>
      </c>
      <c r="E216">
        <v>19.41</v>
      </c>
      <c r="F216">
        <v>14.28</v>
      </c>
      <c r="G216">
        <v>11.28</v>
      </c>
      <c r="H216">
        <v>0.17</v>
      </c>
      <c r="I216">
        <v>76</v>
      </c>
      <c r="J216">
        <v>177.84</v>
      </c>
      <c r="K216">
        <v>52.44</v>
      </c>
      <c r="L216">
        <v>1.75</v>
      </c>
      <c r="M216">
        <v>74</v>
      </c>
      <c r="N216">
        <v>33.65</v>
      </c>
      <c r="O216">
        <v>22168.15</v>
      </c>
      <c r="P216">
        <v>182.49</v>
      </c>
      <c r="Q216">
        <v>988.2</v>
      </c>
      <c r="R216">
        <v>85.14</v>
      </c>
      <c r="S216">
        <v>35.43</v>
      </c>
      <c r="T216">
        <v>23500.06</v>
      </c>
      <c r="U216">
        <v>0.42</v>
      </c>
      <c r="V216">
        <v>0.8</v>
      </c>
      <c r="W216">
        <v>3.09</v>
      </c>
      <c r="X216">
        <v>1.53</v>
      </c>
      <c r="Y216">
        <v>1</v>
      </c>
      <c r="Z216">
        <v>10</v>
      </c>
    </row>
    <row r="217" spans="1:26" x14ac:dyDescent="0.3">
      <c r="A217">
        <v>4</v>
      </c>
      <c r="B217">
        <v>90</v>
      </c>
      <c r="C217" t="s">
        <v>26</v>
      </c>
      <c r="D217">
        <v>5.3277000000000001</v>
      </c>
      <c r="E217">
        <v>18.77</v>
      </c>
      <c r="F217">
        <v>14.04</v>
      </c>
      <c r="G217">
        <v>12.96</v>
      </c>
      <c r="H217">
        <v>0.2</v>
      </c>
      <c r="I217">
        <v>65</v>
      </c>
      <c r="J217">
        <v>178.21</v>
      </c>
      <c r="K217">
        <v>52.44</v>
      </c>
      <c r="L217">
        <v>2</v>
      </c>
      <c r="M217">
        <v>63</v>
      </c>
      <c r="N217">
        <v>33.770000000000003</v>
      </c>
      <c r="O217">
        <v>22213.89</v>
      </c>
      <c r="P217">
        <v>178.4</v>
      </c>
      <c r="Q217">
        <v>988.27</v>
      </c>
      <c r="R217">
        <v>77.41</v>
      </c>
      <c r="S217">
        <v>35.43</v>
      </c>
      <c r="T217">
        <v>19690.27</v>
      </c>
      <c r="U217">
        <v>0.46</v>
      </c>
      <c r="V217">
        <v>0.81</v>
      </c>
      <c r="W217">
        <v>3.08</v>
      </c>
      <c r="X217">
        <v>1.28</v>
      </c>
      <c r="Y217">
        <v>1</v>
      </c>
      <c r="Z217">
        <v>10</v>
      </c>
    </row>
    <row r="218" spans="1:26" x14ac:dyDescent="0.3">
      <c r="A218">
        <v>5</v>
      </c>
      <c r="B218">
        <v>90</v>
      </c>
      <c r="C218" t="s">
        <v>26</v>
      </c>
      <c r="D218">
        <v>5.4564000000000004</v>
      </c>
      <c r="E218">
        <v>18.329999999999998</v>
      </c>
      <c r="F218">
        <v>13.88</v>
      </c>
      <c r="G218">
        <v>14.61</v>
      </c>
      <c r="H218">
        <v>0.22</v>
      </c>
      <c r="I218">
        <v>57</v>
      </c>
      <c r="J218">
        <v>178.59</v>
      </c>
      <c r="K218">
        <v>52.44</v>
      </c>
      <c r="L218">
        <v>2.25</v>
      </c>
      <c r="M218">
        <v>55</v>
      </c>
      <c r="N218">
        <v>33.89</v>
      </c>
      <c r="O218">
        <v>22259.66</v>
      </c>
      <c r="P218">
        <v>175.25</v>
      </c>
      <c r="Q218">
        <v>988.29</v>
      </c>
      <c r="R218">
        <v>72.81</v>
      </c>
      <c r="S218">
        <v>35.43</v>
      </c>
      <c r="T218">
        <v>17430.48</v>
      </c>
      <c r="U218">
        <v>0.49</v>
      </c>
      <c r="V218">
        <v>0.82</v>
      </c>
      <c r="W218">
        <v>3.06</v>
      </c>
      <c r="X218">
        <v>1.1200000000000001</v>
      </c>
      <c r="Y218">
        <v>1</v>
      </c>
      <c r="Z218">
        <v>10</v>
      </c>
    </row>
    <row r="219" spans="1:26" x14ac:dyDescent="0.3">
      <c r="A219">
        <v>6</v>
      </c>
      <c r="B219">
        <v>90</v>
      </c>
      <c r="C219" t="s">
        <v>26</v>
      </c>
      <c r="D219">
        <v>5.5526</v>
      </c>
      <c r="E219">
        <v>18.010000000000002</v>
      </c>
      <c r="F219">
        <v>13.78</v>
      </c>
      <c r="G219">
        <v>16.21</v>
      </c>
      <c r="H219">
        <v>0.25</v>
      </c>
      <c r="I219">
        <v>51</v>
      </c>
      <c r="J219">
        <v>178.96</v>
      </c>
      <c r="K219">
        <v>52.44</v>
      </c>
      <c r="L219">
        <v>2.5</v>
      </c>
      <c r="M219">
        <v>49</v>
      </c>
      <c r="N219">
        <v>34.020000000000003</v>
      </c>
      <c r="O219">
        <v>22305.48</v>
      </c>
      <c r="P219">
        <v>172.66</v>
      </c>
      <c r="Q219">
        <v>988.12</v>
      </c>
      <c r="R219">
        <v>69.62</v>
      </c>
      <c r="S219">
        <v>35.43</v>
      </c>
      <c r="T219">
        <v>15864.82</v>
      </c>
      <c r="U219">
        <v>0.51</v>
      </c>
      <c r="V219">
        <v>0.83</v>
      </c>
      <c r="W219">
        <v>3.05</v>
      </c>
      <c r="X219">
        <v>1.02</v>
      </c>
      <c r="Y219">
        <v>1</v>
      </c>
      <c r="Z219">
        <v>10</v>
      </c>
    </row>
    <row r="220" spans="1:26" x14ac:dyDescent="0.3">
      <c r="A220">
        <v>7</v>
      </c>
      <c r="B220">
        <v>90</v>
      </c>
      <c r="C220" t="s">
        <v>26</v>
      </c>
      <c r="D220">
        <v>5.6437999999999997</v>
      </c>
      <c r="E220">
        <v>17.72</v>
      </c>
      <c r="F220">
        <v>13.66</v>
      </c>
      <c r="G220">
        <v>17.82</v>
      </c>
      <c r="H220">
        <v>0.27</v>
      </c>
      <c r="I220">
        <v>46</v>
      </c>
      <c r="J220">
        <v>179.33</v>
      </c>
      <c r="K220">
        <v>52.44</v>
      </c>
      <c r="L220">
        <v>2.75</v>
      </c>
      <c r="M220">
        <v>44</v>
      </c>
      <c r="N220">
        <v>34.14</v>
      </c>
      <c r="O220">
        <v>22351.34</v>
      </c>
      <c r="P220">
        <v>170.31</v>
      </c>
      <c r="Q220">
        <v>988.28</v>
      </c>
      <c r="R220">
        <v>66</v>
      </c>
      <c r="S220">
        <v>35.43</v>
      </c>
      <c r="T220">
        <v>14082.12</v>
      </c>
      <c r="U220">
        <v>0.54</v>
      </c>
      <c r="V220">
        <v>0.83</v>
      </c>
      <c r="W220">
        <v>3.04</v>
      </c>
      <c r="X220">
        <v>0.91</v>
      </c>
      <c r="Y220">
        <v>1</v>
      </c>
      <c r="Z220">
        <v>10</v>
      </c>
    </row>
    <row r="221" spans="1:26" x14ac:dyDescent="0.3">
      <c r="A221">
        <v>8</v>
      </c>
      <c r="B221">
        <v>90</v>
      </c>
      <c r="C221" t="s">
        <v>26</v>
      </c>
      <c r="D221">
        <v>5.7176</v>
      </c>
      <c r="E221">
        <v>17.489999999999998</v>
      </c>
      <c r="F221">
        <v>13.58</v>
      </c>
      <c r="G221">
        <v>19.39</v>
      </c>
      <c r="H221">
        <v>0.3</v>
      </c>
      <c r="I221">
        <v>42</v>
      </c>
      <c r="J221">
        <v>179.7</v>
      </c>
      <c r="K221">
        <v>52.44</v>
      </c>
      <c r="L221">
        <v>3</v>
      </c>
      <c r="M221">
        <v>40</v>
      </c>
      <c r="N221">
        <v>34.26</v>
      </c>
      <c r="O221">
        <v>22397.24</v>
      </c>
      <c r="P221">
        <v>168.15</v>
      </c>
      <c r="Q221">
        <v>988.12</v>
      </c>
      <c r="R221">
        <v>63.35</v>
      </c>
      <c r="S221">
        <v>35.43</v>
      </c>
      <c r="T221">
        <v>12774.9</v>
      </c>
      <c r="U221">
        <v>0.56000000000000005</v>
      </c>
      <c r="V221">
        <v>0.84</v>
      </c>
      <c r="W221">
        <v>3.03</v>
      </c>
      <c r="X221">
        <v>0.82</v>
      </c>
      <c r="Y221">
        <v>1</v>
      </c>
      <c r="Z221">
        <v>10</v>
      </c>
    </row>
    <row r="222" spans="1:26" x14ac:dyDescent="0.3">
      <c r="A222">
        <v>9</v>
      </c>
      <c r="B222">
        <v>90</v>
      </c>
      <c r="C222" t="s">
        <v>26</v>
      </c>
      <c r="D222">
        <v>5.7925000000000004</v>
      </c>
      <c r="E222">
        <v>17.260000000000002</v>
      </c>
      <c r="F222">
        <v>13.49</v>
      </c>
      <c r="G222">
        <v>21.3</v>
      </c>
      <c r="H222">
        <v>0.32</v>
      </c>
      <c r="I222">
        <v>38</v>
      </c>
      <c r="J222">
        <v>180.07</v>
      </c>
      <c r="K222">
        <v>52.44</v>
      </c>
      <c r="L222">
        <v>3.25</v>
      </c>
      <c r="M222">
        <v>36</v>
      </c>
      <c r="N222">
        <v>34.380000000000003</v>
      </c>
      <c r="O222">
        <v>22443.18</v>
      </c>
      <c r="P222">
        <v>165.95</v>
      </c>
      <c r="Q222">
        <v>988.19</v>
      </c>
      <c r="R222">
        <v>60.66</v>
      </c>
      <c r="S222">
        <v>35.43</v>
      </c>
      <c r="T222">
        <v>11453.54</v>
      </c>
      <c r="U222">
        <v>0.57999999999999996</v>
      </c>
      <c r="V222">
        <v>0.84</v>
      </c>
      <c r="W222">
        <v>3.03</v>
      </c>
      <c r="X222">
        <v>0.74</v>
      </c>
      <c r="Y222">
        <v>1</v>
      </c>
      <c r="Z222">
        <v>10</v>
      </c>
    </row>
    <row r="223" spans="1:26" x14ac:dyDescent="0.3">
      <c r="A223">
        <v>10</v>
      </c>
      <c r="B223">
        <v>90</v>
      </c>
      <c r="C223" t="s">
        <v>26</v>
      </c>
      <c r="D223">
        <v>5.8482000000000003</v>
      </c>
      <c r="E223">
        <v>17.100000000000001</v>
      </c>
      <c r="F223">
        <v>13.43</v>
      </c>
      <c r="G223">
        <v>23.03</v>
      </c>
      <c r="H223">
        <v>0.34</v>
      </c>
      <c r="I223">
        <v>35</v>
      </c>
      <c r="J223">
        <v>180.45</v>
      </c>
      <c r="K223">
        <v>52.44</v>
      </c>
      <c r="L223">
        <v>3.5</v>
      </c>
      <c r="M223">
        <v>33</v>
      </c>
      <c r="N223">
        <v>34.51</v>
      </c>
      <c r="O223">
        <v>22489.16</v>
      </c>
      <c r="P223">
        <v>164.05</v>
      </c>
      <c r="Q223">
        <v>988.27</v>
      </c>
      <c r="R223">
        <v>58.78</v>
      </c>
      <c r="S223">
        <v>35.43</v>
      </c>
      <c r="T223">
        <v>10525.6</v>
      </c>
      <c r="U223">
        <v>0.6</v>
      </c>
      <c r="V223">
        <v>0.85</v>
      </c>
      <c r="W223">
        <v>3.02</v>
      </c>
      <c r="X223">
        <v>0.68</v>
      </c>
      <c r="Y223">
        <v>1</v>
      </c>
      <c r="Z223">
        <v>10</v>
      </c>
    </row>
    <row r="224" spans="1:26" x14ac:dyDescent="0.3">
      <c r="A224">
        <v>11</v>
      </c>
      <c r="B224">
        <v>90</v>
      </c>
      <c r="C224" t="s">
        <v>26</v>
      </c>
      <c r="D224">
        <v>5.9069000000000003</v>
      </c>
      <c r="E224">
        <v>16.93</v>
      </c>
      <c r="F224">
        <v>13.37</v>
      </c>
      <c r="G224">
        <v>25.07</v>
      </c>
      <c r="H224">
        <v>0.37</v>
      </c>
      <c r="I224">
        <v>32</v>
      </c>
      <c r="J224">
        <v>180.82</v>
      </c>
      <c r="K224">
        <v>52.44</v>
      </c>
      <c r="L224">
        <v>3.75</v>
      </c>
      <c r="M224">
        <v>30</v>
      </c>
      <c r="N224">
        <v>34.630000000000003</v>
      </c>
      <c r="O224">
        <v>22535.19</v>
      </c>
      <c r="P224">
        <v>162.07</v>
      </c>
      <c r="Q224">
        <v>988.12</v>
      </c>
      <c r="R224">
        <v>56.89</v>
      </c>
      <c r="S224">
        <v>35.43</v>
      </c>
      <c r="T224">
        <v>9593.84</v>
      </c>
      <c r="U224">
        <v>0.62</v>
      </c>
      <c r="V224">
        <v>0.85</v>
      </c>
      <c r="W224">
        <v>3.02</v>
      </c>
      <c r="X224">
        <v>0.62</v>
      </c>
      <c r="Y224">
        <v>1</v>
      </c>
      <c r="Z224">
        <v>10</v>
      </c>
    </row>
    <row r="225" spans="1:26" x14ac:dyDescent="0.3">
      <c r="A225">
        <v>12</v>
      </c>
      <c r="B225">
        <v>90</v>
      </c>
      <c r="C225" t="s">
        <v>26</v>
      </c>
      <c r="D225">
        <v>5.9459999999999997</v>
      </c>
      <c r="E225">
        <v>16.82</v>
      </c>
      <c r="F225">
        <v>13.33</v>
      </c>
      <c r="G225">
        <v>26.66</v>
      </c>
      <c r="H225">
        <v>0.39</v>
      </c>
      <c r="I225">
        <v>30</v>
      </c>
      <c r="J225">
        <v>181.19</v>
      </c>
      <c r="K225">
        <v>52.44</v>
      </c>
      <c r="L225">
        <v>4</v>
      </c>
      <c r="M225">
        <v>28</v>
      </c>
      <c r="N225">
        <v>34.75</v>
      </c>
      <c r="O225">
        <v>22581.25</v>
      </c>
      <c r="P225">
        <v>160.56</v>
      </c>
      <c r="Q225">
        <v>988.23</v>
      </c>
      <c r="R225">
        <v>55.75</v>
      </c>
      <c r="S225">
        <v>35.43</v>
      </c>
      <c r="T225">
        <v>9038.39</v>
      </c>
      <c r="U225">
        <v>0.64</v>
      </c>
      <c r="V225">
        <v>0.85</v>
      </c>
      <c r="W225">
        <v>3.01</v>
      </c>
      <c r="X225">
        <v>0.57999999999999996</v>
      </c>
      <c r="Y225">
        <v>1</v>
      </c>
      <c r="Z225">
        <v>10</v>
      </c>
    </row>
    <row r="226" spans="1:26" x14ac:dyDescent="0.3">
      <c r="A226">
        <v>13</v>
      </c>
      <c r="B226">
        <v>90</v>
      </c>
      <c r="C226" t="s">
        <v>26</v>
      </c>
      <c r="D226">
        <v>5.9823000000000004</v>
      </c>
      <c r="E226">
        <v>16.72</v>
      </c>
      <c r="F226">
        <v>13.3</v>
      </c>
      <c r="G226">
        <v>28.5</v>
      </c>
      <c r="H226">
        <v>0.42</v>
      </c>
      <c r="I226">
        <v>28</v>
      </c>
      <c r="J226">
        <v>181.57</v>
      </c>
      <c r="K226">
        <v>52.44</v>
      </c>
      <c r="L226">
        <v>4.25</v>
      </c>
      <c r="M226">
        <v>26</v>
      </c>
      <c r="N226">
        <v>34.880000000000003</v>
      </c>
      <c r="O226">
        <v>22627.360000000001</v>
      </c>
      <c r="P226">
        <v>158.72999999999999</v>
      </c>
      <c r="Q226">
        <v>988.32</v>
      </c>
      <c r="R226">
        <v>54.52</v>
      </c>
      <c r="S226">
        <v>35.43</v>
      </c>
      <c r="T226">
        <v>8430.24</v>
      </c>
      <c r="U226">
        <v>0.65</v>
      </c>
      <c r="V226">
        <v>0.86</v>
      </c>
      <c r="W226">
        <v>3.01</v>
      </c>
      <c r="X226">
        <v>0.54</v>
      </c>
      <c r="Y226">
        <v>1</v>
      </c>
      <c r="Z226">
        <v>10</v>
      </c>
    </row>
    <row r="227" spans="1:26" x14ac:dyDescent="0.3">
      <c r="A227">
        <v>14</v>
      </c>
      <c r="B227">
        <v>90</v>
      </c>
      <c r="C227" t="s">
        <v>26</v>
      </c>
      <c r="D227">
        <v>6.0225999999999997</v>
      </c>
      <c r="E227">
        <v>16.600000000000001</v>
      </c>
      <c r="F227">
        <v>13.26</v>
      </c>
      <c r="G227">
        <v>30.6</v>
      </c>
      <c r="H227">
        <v>0.44</v>
      </c>
      <c r="I227">
        <v>26</v>
      </c>
      <c r="J227">
        <v>181.94</v>
      </c>
      <c r="K227">
        <v>52.44</v>
      </c>
      <c r="L227">
        <v>4.5</v>
      </c>
      <c r="M227">
        <v>24</v>
      </c>
      <c r="N227">
        <v>35</v>
      </c>
      <c r="O227">
        <v>22673.63</v>
      </c>
      <c r="P227">
        <v>157.07</v>
      </c>
      <c r="Q227">
        <v>988.21</v>
      </c>
      <c r="R227">
        <v>53.3</v>
      </c>
      <c r="S227">
        <v>35.43</v>
      </c>
      <c r="T227">
        <v>7831.72</v>
      </c>
      <c r="U227">
        <v>0.66</v>
      </c>
      <c r="V227">
        <v>0.86</v>
      </c>
      <c r="W227">
        <v>3.01</v>
      </c>
      <c r="X227">
        <v>0.51</v>
      </c>
      <c r="Y227">
        <v>1</v>
      </c>
      <c r="Z227">
        <v>10</v>
      </c>
    </row>
    <row r="228" spans="1:26" x14ac:dyDescent="0.3">
      <c r="A228">
        <v>15</v>
      </c>
      <c r="B228">
        <v>90</v>
      </c>
      <c r="C228" t="s">
        <v>26</v>
      </c>
      <c r="D228">
        <v>6.0438000000000001</v>
      </c>
      <c r="E228">
        <v>16.55</v>
      </c>
      <c r="F228">
        <v>13.24</v>
      </c>
      <c r="G228">
        <v>31.77</v>
      </c>
      <c r="H228">
        <v>0.46</v>
      </c>
      <c r="I228">
        <v>25</v>
      </c>
      <c r="J228">
        <v>182.32</v>
      </c>
      <c r="K228">
        <v>52.44</v>
      </c>
      <c r="L228">
        <v>4.75</v>
      </c>
      <c r="M228">
        <v>23</v>
      </c>
      <c r="N228">
        <v>35.119999999999997</v>
      </c>
      <c r="O228">
        <v>22719.83</v>
      </c>
      <c r="P228">
        <v>155.84</v>
      </c>
      <c r="Q228">
        <v>988.27</v>
      </c>
      <c r="R228">
        <v>52.59</v>
      </c>
      <c r="S228">
        <v>35.43</v>
      </c>
      <c r="T228">
        <v>7481.44</v>
      </c>
      <c r="U228">
        <v>0.67</v>
      </c>
      <c r="V228">
        <v>0.86</v>
      </c>
      <c r="W228">
        <v>3.01</v>
      </c>
      <c r="X228">
        <v>0.48</v>
      </c>
      <c r="Y228">
        <v>1</v>
      </c>
      <c r="Z228">
        <v>10</v>
      </c>
    </row>
    <row r="229" spans="1:26" x14ac:dyDescent="0.3">
      <c r="A229">
        <v>16</v>
      </c>
      <c r="B229">
        <v>90</v>
      </c>
      <c r="C229" t="s">
        <v>26</v>
      </c>
      <c r="D229">
        <v>6.0655999999999999</v>
      </c>
      <c r="E229">
        <v>16.489999999999998</v>
      </c>
      <c r="F229">
        <v>13.21</v>
      </c>
      <c r="G229">
        <v>33.03</v>
      </c>
      <c r="H229">
        <v>0.49</v>
      </c>
      <c r="I229">
        <v>24</v>
      </c>
      <c r="J229">
        <v>182.69</v>
      </c>
      <c r="K229">
        <v>52.44</v>
      </c>
      <c r="L229">
        <v>5</v>
      </c>
      <c r="M229">
        <v>22</v>
      </c>
      <c r="N229">
        <v>35.25</v>
      </c>
      <c r="O229">
        <v>22766.06</v>
      </c>
      <c r="P229">
        <v>154.22999999999999</v>
      </c>
      <c r="Q229">
        <v>988.15</v>
      </c>
      <c r="R229">
        <v>52.01</v>
      </c>
      <c r="S229">
        <v>35.43</v>
      </c>
      <c r="T229">
        <v>7194.73</v>
      </c>
      <c r="U229">
        <v>0.68</v>
      </c>
      <c r="V229">
        <v>0.86</v>
      </c>
      <c r="W229">
        <v>3</v>
      </c>
      <c r="X229">
        <v>0.46</v>
      </c>
      <c r="Y229">
        <v>1</v>
      </c>
      <c r="Z229">
        <v>10</v>
      </c>
    </row>
    <row r="230" spans="1:26" x14ac:dyDescent="0.3">
      <c r="A230">
        <v>17</v>
      </c>
      <c r="B230">
        <v>90</v>
      </c>
      <c r="C230" t="s">
        <v>26</v>
      </c>
      <c r="D230">
        <v>6.1078000000000001</v>
      </c>
      <c r="E230">
        <v>16.37</v>
      </c>
      <c r="F230">
        <v>13.17</v>
      </c>
      <c r="G230">
        <v>35.92</v>
      </c>
      <c r="H230">
        <v>0.51</v>
      </c>
      <c r="I230">
        <v>22</v>
      </c>
      <c r="J230">
        <v>183.07</v>
      </c>
      <c r="K230">
        <v>52.44</v>
      </c>
      <c r="L230">
        <v>5.25</v>
      </c>
      <c r="M230">
        <v>20</v>
      </c>
      <c r="N230">
        <v>35.369999999999997</v>
      </c>
      <c r="O230">
        <v>22812.34</v>
      </c>
      <c r="P230">
        <v>152.53</v>
      </c>
      <c r="Q230">
        <v>988.16</v>
      </c>
      <c r="R230">
        <v>50.64</v>
      </c>
      <c r="S230">
        <v>35.43</v>
      </c>
      <c r="T230">
        <v>6520.69</v>
      </c>
      <c r="U230">
        <v>0.7</v>
      </c>
      <c r="V230">
        <v>0.87</v>
      </c>
      <c r="W230">
        <v>3</v>
      </c>
      <c r="X230">
        <v>0.42</v>
      </c>
      <c r="Y230">
        <v>1</v>
      </c>
      <c r="Z230">
        <v>10</v>
      </c>
    </row>
    <row r="231" spans="1:26" x14ac:dyDescent="0.3">
      <c r="A231">
        <v>18</v>
      </c>
      <c r="B231">
        <v>90</v>
      </c>
      <c r="C231" t="s">
        <v>26</v>
      </c>
      <c r="D231">
        <v>6.1233000000000004</v>
      </c>
      <c r="E231">
        <v>16.329999999999998</v>
      </c>
      <c r="F231">
        <v>13.16</v>
      </c>
      <c r="G231">
        <v>37.61</v>
      </c>
      <c r="H231">
        <v>0.53</v>
      </c>
      <c r="I231">
        <v>21</v>
      </c>
      <c r="J231">
        <v>183.44</v>
      </c>
      <c r="K231">
        <v>52.44</v>
      </c>
      <c r="L231">
        <v>5.5</v>
      </c>
      <c r="M231">
        <v>19</v>
      </c>
      <c r="N231">
        <v>35.5</v>
      </c>
      <c r="O231">
        <v>22858.66</v>
      </c>
      <c r="P231">
        <v>151.1</v>
      </c>
      <c r="Q231">
        <v>988.1</v>
      </c>
      <c r="R231">
        <v>50.55</v>
      </c>
      <c r="S231">
        <v>35.43</v>
      </c>
      <c r="T231">
        <v>6479.82</v>
      </c>
      <c r="U231">
        <v>0.7</v>
      </c>
      <c r="V231">
        <v>0.87</v>
      </c>
      <c r="W231">
        <v>3</v>
      </c>
      <c r="X231">
        <v>0.41</v>
      </c>
      <c r="Y231">
        <v>1</v>
      </c>
      <c r="Z231">
        <v>10</v>
      </c>
    </row>
    <row r="232" spans="1:26" x14ac:dyDescent="0.3">
      <c r="A232">
        <v>19</v>
      </c>
      <c r="B232">
        <v>90</v>
      </c>
      <c r="C232" t="s">
        <v>26</v>
      </c>
      <c r="D232">
        <v>6.1528999999999998</v>
      </c>
      <c r="E232">
        <v>16.25</v>
      </c>
      <c r="F232">
        <v>13.12</v>
      </c>
      <c r="G232">
        <v>39.36</v>
      </c>
      <c r="H232">
        <v>0.55000000000000004</v>
      </c>
      <c r="I232">
        <v>20</v>
      </c>
      <c r="J232">
        <v>183.82</v>
      </c>
      <c r="K232">
        <v>52.44</v>
      </c>
      <c r="L232">
        <v>5.75</v>
      </c>
      <c r="M232">
        <v>18</v>
      </c>
      <c r="N232">
        <v>35.630000000000003</v>
      </c>
      <c r="O232">
        <v>22905.03</v>
      </c>
      <c r="P232">
        <v>149.61000000000001</v>
      </c>
      <c r="Q232">
        <v>988.13</v>
      </c>
      <c r="R232">
        <v>49.22</v>
      </c>
      <c r="S232">
        <v>35.43</v>
      </c>
      <c r="T232">
        <v>5820.92</v>
      </c>
      <c r="U232">
        <v>0.72</v>
      </c>
      <c r="V232">
        <v>0.87</v>
      </c>
      <c r="W232">
        <v>2.99</v>
      </c>
      <c r="X232">
        <v>0.37</v>
      </c>
      <c r="Y232">
        <v>1</v>
      </c>
      <c r="Z232">
        <v>10</v>
      </c>
    </row>
    <row r="233" spans="1:26" x14ac:dyDescent="0.3">
      <c r="A233">
        <v>20</v>
      </c>
      <c r="B233">
        <v>90</v>
      </c>
      <c r="C233" t="s">
        <v>26</v>
      </c>
      <c r="D233">
        <v>6.1738</v>
      </c>
      <c r="E233">
        <v>16.2</v>
      </c>
      <c r="F233">
        <v>13.1</v>
      </c>
      <c r="G233">
        <v>41.37</v>
      </c>
      <c r="H233">
        <v>0.57999999999999996</v>
      </c>
      <c r="I233">
        <v>19</v>
      </c>
      <c r="J233">
        <v>184.19</v>
      </c>
      <c r="K233">
        <v>52.44</v>
      </c>
      <c r="L233">
        <v>6</v>
      </c>
      <c r="M233">
        <v>17</v>
      </c>
      <c r="N233">
        <v>35.75</v>
      </c>
      <c r="O233">
        <v>22951.43</v>
      </c>
      <c r="P233">
        <v>148.12</v>
      </c>
      <c r="Q233">
        <v>988.14</v>
      </c>
      <c r="R233">
        <v>48.61</v>
      </c>
      <c r="S233">
        <v>35.43</v>
      </c>
      <c r="T233">
        <v>5523.01</v>
      </c>
      <c r="U233">
        <v>0.73</v>
      </c>
      <c r="V233">
        <v>0.87</v>
      </c>
      <c r="W233">
        <v>2.99</v>
      </c>
      <c r="X233">
        <v>0.35</v>
      </c>
      <c r="Y233">
        <v>1</v>
      </c>
      <c r="Z233">
        <v>10</v>
      </c>
    </row>
    <row r="234" spans="1:26" x14ac:dyDescent="0.3">
      <c r="A234">
        <v>21</v>
      </c>
      <c r="B234">
        <v>90</v>
      </c>
      <c r="C234" t="s">
        <v>26</v>
      </c>
      <c r="D234">
        <v>6.1933999999999996</v>
      </c>
      <c r="E234">
        <v>16.149999999999999</v>
      </c>
      <c r="F234">
        <v>13.09</v>
      </c>
      <c r="G234">
        <v>43.62</v>
      </c>
      <c r="H234">
        <v>0.6</v>
      </c>
      <c r="I234">
        <v>18</v>
      </c>
      <c r="J234">
        <v>184.57</v>
      </c>
      <c r="K234">
        <v>52.44</v>
      </c>
      <c r="L234">
        <v>6.25</v>
      </c>
      <c r="M234">
        <v>16</v>
      </c>
      <c r="N234">
        <v>35.880000000000003</v>
      </c>
      <c r="O234">
        <v>22997.88</v>
      </c>
      <c r="P234">
        <v>146.80000000000001</v>
      </c>
      <c r="Q234">
        <v>988.09</v>
      </c>
      <c r="R234">
        <v>47.99</v>
      </c>
      <c r="S234">
        <v>35.43</v>
      </c>
      <c r="T234">
        <v>5217.53</v>
      </c>
      <c r="U234">
        <v>0.74</v>
      </c>
      <c r="V234">
        <v>0.87</v>
      </c>
      <c r="W234">
        <v>3</v>
      </c>
      <c r="X234">
        <v>0.33</v>
      </c>
      <c r="Y234">
        <v>1</v>
      </c>
      <c r="Z234">
        <v>10</v>
      </c>
    </row>
    <row r="235" spans="1:26" x14ac:dyDescent="0.3">
      <c r="A235">
        <v>22</v>
      </c>
      <c r="B235">
        <v>90</v>
      </c>
      <c r="C235" t="s">
        <v>26</v>
      </c>
      <c r="D235">
        <v>6.2126999999999999</v>
      </c>
      <c r="E235">
        <v>16.100000000000001</v>
      </c>
      <c r="F235">
        <v>13.07</v>
      </c>
      <c r="G235">
        <v>46.13</v>
      </c>
      <c r="H235">
        <v>0.62</v>
      </c>
      <c r="I235">
        <v>17</v>
      </c>
      <c r="J235">
        <v>184.95</v>
      </c>
      <c r="K235">
        <v>52.44</v>
      </c>
      <c r="L235">
        <v>6.5</v>
      </c>
      <c r="M235">
        <v>15</v>
      </c>
      <c r="N235">
        <v>36.01</v>
      </c>
      <c r="O235">
        <v>23044.38</v>
      </c>
      <c r="P235">
        <v>143.58000000000001</v>
      </c>
      <c r="Q235">
        <v>988.08</v>
      </c>
      <c r="R235">
        <v>47.63</v>
      </c>
      <c r="S235">
        <v>35.43</v>
      </c>
      <c r="T235">
        <v>5043.0600000000004</v>
      </c>
      <c r="U235">
        <v>0.74</v>
      </c>
      <c r="V235">
        <v>0.87</v>
      </c>
      <c r="W235">
        <v>2.99</v>
      </c>
      <c r="X235">
        <v>0.32</v>
      </c>
      <c r="Y235">
        <v>1</v>
      </c>
      <c r="Z235">
        <v>10</v>
      </c>
    </row>
    <row r="236" spans="1:26" x14ac:dyDescent="0.3">
      <c r="A236">
        <v>23</v>
      </c>
      <c r="B236">
        <v>90</v>
      </c>
      <c r="C236" t="s">
        <v>26</v>
      </c>
      <c r="D236">
        <v>6.2114000000000003</v>
      </c>
      <c r="E236">
        <v>16.100000000000001</v>
      </c>
      <c r="F236">
        <v>13.07</v>
      </c>
      <c r="G236">
        <v>46.15</v>
      </c>
      <c r="H236">
        <v>0.65</v>
      </c>
      <c r="I236">
        <v>17</v>
      </c>
      <c r="J236">
        <v>185.33</v>
      </c>
      <c r="K236">
        <v>52.44</v>
      </c>
      <c r="L236">
        <v>6.75</v>
      </c>
      <c r="M236">
        <v>15</v>
      </c>
      <c r="N236">
        <v>36.130000000000003</v>
      </c>
      <c r="O236">
        <v>23090.91</v>
      </c>
      <c r="P236">
        <v>142.87</v>
      </c>
      <c r="Q236">
        <v>988.17</v>
      </c>
      <c r="R236">
        <v>47.57</v>
      </c>
      <c r="S236">
        <v>35.43</v>
      </c>
      <c r="T236">
        <v>5013.3500000000004</v>
      </c>
      <c r="U236">
        <v>0.74</v>
      </c>
      <c r="V236">
        <v>0.87</v>
      </c>
      <c r="W236">
        <v>3</v>
      </c>
      <c r="X236">
        <v>0.32</v>
      </c>
      <c r="Y236">
        <v>1</v>
      </c>
      <c r="Z236">
        <v>10</v>
      </c>
    </row>
    <row r="237" spans="1:26" x14ac:dyDescent="0.3">
      <c r="A237">
        <v>24</v>
      </c>
      <c r="B237">
        <v>90</v>
      </c>
      <c r="C237" t="s">
        <v>26</v>
      </c>
      <c r="D237">
        <v>6.2343000000000002</v>
      </c>
      <c r="E237">
        <v>16.04</v>
      </c>
      <c r="F237">
        <v>13.05</v>
      </c>
      <c r="G237">
        <v>48.94</v>
      </c>
      <c r="H237">
        <v>0.67</v>
      </c>
      <c r="I237">
        <v>16</v>
      </c>
      <c r="J237">
        <v>185.7</v>
      </c>
      <c r="K237">
        <v>52.44</v>
      </c>
      <c r="L237">
        <v>7</v>
      </c>
      <c r="M237">
        <v>14</v>
      </c>
      <c r="N237">
        <v>36.26</v>
      </c>
      <c r="O237">
        <v>23137.49</v>
      </c>
      <c r="P237">
        <v>141.85</v>
      </c>
      <c r="Q237">
        <v>988.12</v>
      </c>
      <c r="R237">
        <v>46.98</v>
      </c>
      <c r="S237">
        <v>35.43</v>
      </c>
      <c r="T237">
        <v>4721.25</v>
      </c>
      <c r="U237">
        <v>0.75</v>
      </c>
      <c r="V237">
        <v>0.87</v>
      </c>
      <c r="W237">
        <v>2.99</v>
      </c>
      <c r="X237">
        <v>0.3</v>
      </c>
      <c r="Y237">
        <v>1</v>
      </c>
      <c r="Z237">
        <v>10</v>
      </c>
    </row>
    <row r="238" spans="1:26" x14ac:dyDescent="0.3">
      <c r="A238">
        <v>25</v>
      </c>
      <c r="B238">
        <v>90</v>
      </c>
      <c r="C238" t="s">
        <v>26</v>
      </c>
      <c r="D238">
        <v>6.2511999999999999</v>
      </c>
      <c r="E238">
        <v>16</v>
      </c>
      <c r="F238">
        <v>13.04</v>
      </c>
      <c r="G238">
        <v>52.17</v>
      </c>
      <c r="H238">
        <v>0.69</v>
      </c>
      <c r="I238">
        <v>15</v>
      </c>
      <c r="J238">
        <v>186.08</v>
      </c>
      <c r="K238">
        <v>52.44</v>
      </c>
      <c r="L238">
        <v>7.25</v>
      </c>
      <c r="M238">
        <v>13</v>
      </c>
      <c r="N238">
        <v>36.39</v>
      </c>
      <c r="O238">
        <v>23184.11</v>
      </c>
      <c r="P238">
        <v>140.35</v>
      </c>
      <c r="Q238">
        <v>988.08</v>
      </c>
      <c r="R238">
        <v>46.87</v>
      </c>
      <c r="S238">
        <v>35.43</v>
      </c>
      <c r="T238">
        <v>4672.21</v>
      </c>
      <c r="U238">
        <v>0.76</v>
      </c>
      <c r="V238">
        <v>0.87</v>
      </c>
      <c r="W238">
        <v>2.99</v>
      </c>
      <c r="X238">
        <v>0.28999999999999998</v>
      </c>
      <c r="Y238">
        <v>1</v>
      </c>
      <c r="Z238">
        <v>10</v>
      </c>
    </row>
    <row r="239" spans="1:26" x14ac:dyDescent="0.3">
      <c r="A239">
        <v>26</v>
      </c>
      <c r="B239">
        <v>90</v>
      </c>
      <c r="C239" t="s">
        <v>26</v>
      </c>
      <c r="D239">
        <v>6.2534999999999998</v>
      </c>
      <c r="E239">
        <v>15.99</v>
      </c>
      <c r="F239">
        <v>13.04</v>
      </c>
      <c r="G239">
        <v>52.15</v>
      </c>
      <c r="H239">
        <v>0.71</v>
      </c>
      <c r="I239">
        <v>15</v>
      </c>
      <c r="J239">
        <v>186.46</v>
      </c>
      <c r="K239">
        <v>52.44</v>
      </c>
      <c r="L239">
        <v>7.5</v>
      </c>
      <c r="M239">
        <v>13</v>
      </c>
      <c r="N239">
        <v>36.520000000000003</v>
      </c>
      <c r="O239">
        <v>23230.78</v>
      </c>
      <c r="P239">
        <v>139.03</v>
      </c>
      <c r="Q239">
        <v>988.08</v>
      </c>
      <c r="R239">
        <v>46.34</v>
      </c>
      <c r="S239">
        <v>35.43</v>
      </c>
      <c r="T239">
        <v>4405.24</v>
      </c>
      <c r="U239">
        <v>0.76</v>
      </c>
      <c r="V239">
        <v>0.87</v>
      </c>
      <c r="W239">
        <v>3</v>
      </c>
      <c r="X239">
        <v>0.28000000000000003</v>
      </c>
      <c r="Y239">
        <v>1</v>
      </c>
      <c r="Z239">
        <v>10</v>
      </c>
    </row>
    <row r="240" spans="1:26" x14ac:dyDescent="0.3">
      <c r="A240">
        <v>27</v>
      </c>
      <c r="B240">
        <v>90</v>
      </c>
      <c r="C240" t="s">
        <v>26</v>
      </c>
      <c r="D240">
        <v>6.2808999999999999</v>
      </c>
      <c r="E240">
        <v>15.92</v>
      </c>
      <c r="F240">
        <v>13</v>
      </c>
      <c r="G240">
        <v>55.73</v>
      </c>
      <c r="H240">
        <v>0.74</v>
      </c>
      <c r="I240">
        <v>14</v>
      </c>
      <c r="J240">
        <v>186.84</v>
      </c>
      <c r="K240">
        <v>52.44</v>
      </c>
      <c r="L240">
        <v>7.75</v>
      </c>
      <c r="M240">
        <v>12</v>
      </c>
      <c r="N240">
        <v>36.65</v>
      </c>
      <c r="O240">
        <v>23277.49</v>
      </c>
      <c r="P240">
        <v>137.32</v>
      </c>
      <c r="Q240">
        <v>988.08</v>
      </c>
      <c r="R240">
        <v>45.51</v>
      </c>
      <c r="S240">
        <v>35.43</v>
      </c>
      <c r="T240">
        <v>3996.01</v>
      </c>
      <c r="U240">
        <v>0.78</v>
      </c>
      <c r="V240">
        <v>0.88</v>
      </c>
      <c r="W240">
        <v>2.99</v>
      </c>
      <c r="X240">
        <v>0.25</v>
      </c>
      <c r="Y240">
        <v>1</v>
      </c>
      <c r="Z240">
        <v>10</v>
      </c>
    </row>
    <row r="241" spans="1:26" x14ac:dyDescent="0.3">
      <c r="A241">
        <v>28</v>
      </c>
      <c r="B241">
        <v>90</v>
      </c>
      <c r="C241" t="s">
        <v>26</v>
      </c>
      <c r="D241">
        <v>6.2804000000000002</v>
      </c>
      <c r="E241">
        <v>15.92</v>
      </c>
      <c r="F241">
        <v>13</v>
      </c>
      <c r="G241">
        <v>55.73</v>
      </c>
      <c r="H241">
        <v>0.76</v>
      </c>
      <c r="I241">
        <v>14</v>
      </c>
      <c r="J241">
        <v>187.22</v>
      </c>
      <c r="K241">
        <v>52.44</v>
      </c>
      <c r="L241">
        <v>8</v>
      </c>
      <c r="M241">
        <v>11</v>
      </c>
      <c r="N241">
        <v>36.78</v>
      </c>
      <c r="O241">
        <v>23324.240000000002</v>
      </c>
      <c r="P241">
        <v>134.59</v>
      </c>
      <c r="Q241">
        <v>988.13</v>
      </c>
      <c r="R241">
        <v>45.37</v>
      </c>
      <c r="S241">
        <v>35.43</v>
      </c>
      <c r="T241">
        <v>3926.39</v>
      </c>
      <c r="U241">
        <v>0.78</v>
      </c>
      <c r="V241">
        <v>0.88</v>
      </c>
      <c r="W241">
        <v>2.99</v>
      </c>
      <c r="X241">
        <v>0.25</v>
      </c>
      <c r="Y241">
        <v>1</v>
      </c>
      <c r="Z241">
        <v>10</v>
      </c>
    </row>
    <row r="242" spans="1:26" x14ac:dyDescent="0.3">
      <c r="A242">
        <v>29</v>
      </c>
      <c r="B242">
        <v>90</v>
      </c>
      <c r="C242" t="s">
        <v>26</v>
      </c>
      <c r="D242">
        <v>6.2957000000000001</v>
      </c>
      <c r="E242">
        <v>15.88</v>
      </c>
      <c r="F242">
        <v>13</v>
      </c>
      <c r="G242">
        <v>60.01</v>
      </c>
      <c r="H242">
        <v>0.78</v>
      </c>
      <c r="I242">
        <v>13</v>
      </c>
      <c r="J242">
        <v>187.6</v>
      </c>
      <c r="K242">
        <v>52.44</v>
      </c>
      <c r="L242">
        <v>8.25</v>
      </c>
      <c r="M242">
        <v>8</v>
      </c>
      <c r="N242">
        <v>36.9</v>
      </c>
      <c r="O242">
        <v>23371.040000000001</v>
      </c>
      <c r="P242">
        <v>134.32</v>
      </c>
      <c r="Q242">
        <v>988.08</v>
      </c>
      <c r="R242">
        <v>45.4</v>
      </c>
      <c r="S242">
        <v>35.43</v>
      </c>
      <c r="T242">
        <v>3944.88</v>
      </c>
      <c r="U242">
        <v>0.78</v>
      </c>
      <c r="V242">
        <v>0.88</v>
      </c>
      <c r="W242">
        <v>2.99</v>
      </c>
      <c r="X242">
        <v>0.25</v>
      </c>
      <c r="Y242">
        <v>1</v>
      </c>
      <c r="Z242">
        <v>10</v>
      </c>
    </row>
    <row r="243" spans="1:26" x14ac:dyDescent="0.3">
      <c r="A243">
        <v>30</v>
      </c>
      <c r="B243">
        <v>90</v>
      </c>
      <c r="C243" t="s">
        <v>26</v>
      </c>
      <c r="D243">
        <v>6.2971000000000004</v>
      </c>
      <c r="E243">
        <v>15.88</v>
      </c>
      <c r="F243">
        <v>13</v>
      </c>
      <c r="G243">
        <v>59.99</v>
      </c>
      <c r="H243">
        <v>0.8</v>
      </c>
      <c r="I243">
        <v>13</v>
      </c>
      <c r="J243">
        <v>187.98</v>
      </c>
      <c r="K243">
        <v>52.44</v>
      </c>
      <c r="L243">
        <v>8.5</v>
      </c>
      <c r="M243">
        <v>6</v>
      </c>
      <c r="N243">
        <v>37.03</v>
      </c>
      <c r="O243">
        <v>23417.88</v>
      </c>
      <c r="P243">
        <v>133.71</v>
      </c>
      <c r="Q243">
        <v>988.09</v>
      </c>
      <c r="R243">
        <v>45.3</v>
      </c>
      <c r="S243">
        <v>35.43</v>
      </c>
      <c r="T243">
        <v>3894.2</v>
      </c>
      <c r="U243">
        <v>0.78</v>
      </c>
      <c r="V243">
        <v>0.88</v>
      </c>
      <c r="W243">
        <v>2.99</v>
      </c>
      <c r="X243">
        <v>0.24</v>
      </c>
      <c r="Y243">
        <v>1</v>
      </c>
      <c r="Z243">
        <v>10</v>
      </c>
    </row>
    <row r="244" spans="1:26" x14ac:dyDescent="0.3">
      <c r="A244">
        <v>31</v>
      </c>
      <c r="B244">
        <v>90</v>
      </c>
      <c r="C244" t="s">
        <v>26</v>
      </c>
      <c r="D244">
        <v>6.2968999999999999</v>
      </c>
      <c r="E244">
        <v>15.88</v>
      </c>
      <c r="F244">
        <v>13</v>
      </c>
      <c r="G244">
        <v>59.99</v>
      </c>
      <c r="H244">
        <v>0.82</v>
      </c>
      <c r="I244">
        <v>13</v>
      </c>
      <c r="J244">
        <v>188.36</v>
      </c>
      <c r="K244">
        <v>52.44</v>
      </c>
      <c r="L244">
        <v>8.75</v>
      </c>
      <c r="M244">
        <v>3</v>
      </c>
      <c r="N244">
        <v>37.159999999999997</v>
      </c>
      <c r="O244">
        <v>23464.76</v>
      </c>
      <c r="P244">
        <v>133</v>
      </c>
      <c r="Q244">
        <v>988.08</v>
      </c>
      <c r="R244">
        <v>45.23</v>
      </c>
      <c r="S244">
        <v>35.43</v>
      </c>
      <c r="T244">
        <v>3863.42</v>
      </c>
      <c r="U244">
        <v>0.78</v>
      </c>
      <c r="V244">
        <v>0.88</v>
      </c>
      <c r="W244">
        <v>2.99</v>
      </c>
      <c r="X244">
        <v>0.24</v>
      </c>
      <c r="Y244">
        <v>1</v>
      </c>
      <c r="Z244">
        <v>10</v>
      </c>
    </row>
    <row r="245" spans="1:26" x14ac:dyDescent="0.3">
      <c r="A245">
        <v>32</v>
      </c>
      <c r="B245">
        <v>90</v>
      </c>
      <c r="C245" t="s">
        <v>26</v>
      </c>
      <c r="D245">
        <v>6.2980999999999998</v>
      </c>
      <c r="E245">
        <v>15.88</v>
      </c>
      <c r="F245">
        <v>12.99</v>
      </c>
      <c r="G245">
        <v>59.98</v>
      </c>
      <c r="H245">
        <v>0.85</v>
      </c>
      <c r="I245">
        <v>13</v>
      </c>
      <c r="J245">
        <v>188.74</v>
      </c>
      <c r="K245">
        <v>52.44</v>
      </c>
      <c r="L245">
        <v>9</v>
      </c>
      <c r="M245">
        <v>2</v>
      </c>
      <c r="N245">
        <v>37.299999999999997</v>
      </c>
      <c r="O245">
        <v>23511.69</v>
      </c>
      <c r="P245">
        <v>132.38999999999999</v>
      </c>
      <c r="Q245">
        <v>988.08</v>
      </c>
      <c r="R245">
        <v>45.02</v>
      </c>
      <c r="S245">
        <v>35.43</v>
      </c>
      <c r="T245">
        <v>3757.26</v>
      </c>
      <c r="U245">
        <v>0.79</v>
      </c>
      <c r="V245">
        <v>0.88</v>
      </c>
      <c r="W245">
        <v>2.99</v>
      </c>
      <c r="X245">
        <v>0.24</v>
      </c>
      <c r="Y245">
        <v>1</v>
      </c>
      <c r="Z245">
        <v>10</v>
      </c>
    </row>
    <row r="246" spans="1:26" x14ac:dyDescent="0.3">
      <c r="A246">
        <v>33</v>
      </c>
      <c r="B246">
        <v>90</v>
      </c>
      <c r="C246" t="s">
        <v>26</v>
      </c>
      <c r="D246">
        <v>6.2977999999999996</v>
      </c>
      <c r="E246">
        <v>15.88</v>
      </c>
      <c r="F246">
        <v>13</v>
      </c>
      <c r="G246">
        <v>59.98</v>
      </c>
      <c r="H246">
        <v>0.87</v>
      </c>
      <c r="I246">
        <v>13</v>
      </c>
      <c r="J246">
        <v>189.12</v>
      </c>
      <c r="K246">
        <v>52.44</v>
      </c>
      <c r="L246">
        <v>9.25</v>
      </c>
      <c r="M246">
        <v>1</v>
      </c>
      <c r="N246">
        <v>37.43</v>
      </c>
      <c r="O246">
        <v>23558.67</v>
      </c>
      <c r="P246">
        <v>132.28</v>
      </c>
      <c r="Q246">
        <v>988.08</v>
      </c>
      <c r="R246">
        <v>44.98</v>
      </c>
      <c r="S246">
        <v>35.43</v>
      </c>
      <c r="T246">
        <v>3735.17</v>
      </c>
      <c r="U246">
        <v>0.79</v>
      </c>
      <c r="V246">
        <v>0.88</v>
      </c>
      <c r="W246">
        <v>2.99</v>
      </c>
      <c r="X246">
        <v>0.24</v>
      </c>
      <c r="Y246">
        <v>1</v>
      </c>
      <c r="Z246">
        <v>10</v>
      </c>
    </row>
    <row r="247" spans="1:26" x14ac:dyDescent="0.3">
      <c r="A247">
        <v>34</v>
      </c>
      <c r="B247">
        <v>90</v>
      </c>
      <c r="C247" t="s">
        <v>26</v>
      </c>
      <c r="D247">
        <v>6.3197000000000001</v>
      </c>
      <c r="E247">
        <v>15.82</v>
      </c>
      <c r="F247">
        <v>12.98</v>
      </c>
      <c r="G247">
        <v>64.88</v>
      </c>
      <c r="H247">
        <v>0.89</v>
      </c>
      <c r="I247">
        <v>12</v>
      </c>
      <c r="J247">
        <v>189.5</v>
      </c>
      <c r="K247">
        <v>52.44</v>
      </c>
      <c r="L247">
        <v>9.5</v>
      </c>
      <c r="M247">
        <v>0</v>
      </c>
      <c r="N247">
        <v>37.56</v>
      </c>
      <c r="O247">
        <v>23605.68</v>
      </c>
      <c r="P247">
        <v>132.05000000000001</v>
      </c>
      <c r="Q247">
        <v>988.08</v>
      </c>
      <c r="R247">
        <v>44.36</v>
      </c>
      <c r="S247">
        <v>35.43</v>
      </c>
      <c r="T247">
        <v>3431.86</v>
      </c>
      <c r="U247">
        <v>0.8</v>
      </c>
      <c r="V247">
        <v>0.88</v>
      </c>
      <c r="W247">
        <v>2.99</v>
      </c>
      <c r="X247">
        <v>0.22</v>
      </c>
      <c r="Y247">
        <v>1</v>
      </c>
      <c r="Z247">
        <v>10</v>
      </c>
    </row>
    <row r="248" spans="1:26" x14ac:dyDescent="0.3">
      <c r="A248">
        <v>0</v>
      </c>
      <c r="B248">
        <v>110</v>
      </c>
      <c r="C248" t="s">
        <v>26</v>
      </c>
      <c r="D248">
        <v>3.8136000000000001</v>
      </c>
      <c r="E248">
        <v>26.22</v>
      </c>
      <c r="F248">
        <v>16.3</v>
      </c>
      <c r="G248">
        <v>5.65</v>
      </c>
      <c r="H248">
        <v>0.08</v>
      </c>
      <c r="I248">
        <v>173</v>
      </c>
      <c r="J248">
        <v>213.37</v>
      </c>
      <c r="K248">
        <v>56.13</v>
      </c>
      <c r="L248">
        <v>1</v>
      </c>
      <c r="M248">
        <v>171</v>
      </c>
      <c r="N248">
        <v>46.25</v>
      </c>
      <c r="O248">
        <v>26550.29</v>
      </c>
      <c r="P248">
        <v>240.23</v>
      </c>
      <c r="Q248">
        <v>988.97</v>
      </c>
      <c r="R248">
        <v>148.02000000000001</v>
      </c>
      <c r="S248">
        <v>35.43</v>
      </c>
      <c r="T248">
        <v>54458.58</v>
      </c>
      <c r="U248">
        <v>0.24</v>
      </c>
      <c r="V248">
        <v>0.7</v>
      </c>
      <c r="W248">
        <v>3.25</v>
      </c>
      <c r="X248">
        <v>3.54</v>
      </c>
      <c r="Y248">
        <v>1</v>
      </c>
      <c r="Z248">
        <v>10</v>
      </c>
    </row>
    <row r="249" spans="1:26" x14ac:dyDescent="0.3">
      <c r="A249">
        <v>1</v>
      </c>
      <c r="B249">
        <v>110</v>
      </c>
      <c r="C249" t="s">
        <v>26</v>
      </c>
      <c r="D249">
        <v>4.2457000000000003</v>
      </c>
      <c r="E249">
        <v>23.55</v>
      </c>
      <c r="F249">
        <v>15.41</v>
      </c>
      <c r="G249">
        <v>7.06</v>
      </c>
      <c r="H249">
        <v>0.1</v>
      </c>
      <c r="I249">
        <v>131</v>
      </c>
      <c r="J249">
        <v>213.78</v>
      </c>
      <c r="K249">
        <v>56.13</v>
      </c>
      <c r="L249">
        <v>1.25</v>
      </c>
      <c r="M249">
        <v>129</v>
      </c>
      <c r="N249">
        <v>46.4</v>
      </c>
      <c r="O249">
        <v>26600.32</v>
      </c>
      <c r="P249">
        <v>226.16</v>
      </c>
      <c r="Q249">
        <v>988.4</v>
      </c>
      <c r="R249">
        <v>120.28</v>
      </c>
      <c r="S249">
        <v>35.43</v>
      </c>
      <c r="T249">
        <v>40793.699999999997</v>
      </c>
      <c r="U249">
        <v>0.28999999999999998</v>
      </c>
      <c r="V249">
        <v>0.74</v>
      </c>
      <c r="W249">
        <v>3.18</v>
      </c>
      <c r="X249">
        <v>2.65</v>
      </c>
      <c r="Y249">
        <v>1</v>
      </c>
      <c r="Z249">
        <v>10</v>
      </c>
    </row>
    <row r="250" spans="1:26" x14ac:dyDescent="0.3">
      <c r="A250">
        <v>2</v>
      </c>
      <c r="B250">
        <v>110</v>
      </c>
      <c r="C250" t="s">
        <v>26</v>
      </c>
      <c r="D250">
        <v>4.5681000000000003</v>
      </c>
      <c r="E250">
        <v>21.89</v>
      </c>
      <c r="F250">
        <v>14.84</v>
      </c>
      <c r="G250">
        <v>8.48</v>
      </c>
      <c r="H250">
        <v>0.12</v>
      </c>
      <c r="I250">
        <v>105</v>
      </c>
      <c r="J250">
        <v>214.19</v>
      </c>
      <c r="K250">
        <v>56.13</v>
      </c>
      <c r="L250">
        <v>1.5</v>
      </c>
      <c r="M250">
        <v>103</v>
      </c>
      <c r="N250">
        <v>46.56</v>
      </c>
      <c r="O250">
        <v>26650.41</v>
      </c>
      <c r="P250">
        <v>217.05</v>
      </c>
      <c r="Q250">
        <v>988.35</v>
      </c>
      <c r="R250">
        <v>102.59</v>
      </c>
      <c r="S250">
        <v>35.43</v>
      </c>
      <c r="T250">
        <v>32080.25</v>
      </c>
      <c r="U250">
        <v>0.35</v>
      </c>
      <c r="V250">
        <v>0.77</v>
      </c>
      <c r="W250">
        <v>3.14</v>
      </c>
      <c r="X250">
        <v>2.09</v>
      </c>
      <c r="Y250">
        <v>1</v>
      </c>
      <c r="Z250">
        <v>10</v>
      </c>
    </row>
    <row r="251" spans="1:26" x14ac:dyDescent="0.3">
      <c r="A251">
        <v>3</v>
      </c>
      <c r="B251">
        <v>110</v>
      </c>
      <c r="C251" t="s">
        <v>26</v>
      </c>
      <c r="D251">
        <v>4.7964000000000002</v>
      </c>
      <c r="E251">
        <v>20.85</v>
      </c>
      <c r="F251">
        <v>14.52</v>
      </c>
      <c r="G251">
        <v>9.9</v>
      </c>
      <c r="H251">
        <v>0.14000000000000001</v>
      </c>
      <c r="I251">
        <v>88</v>
      </c>
      <c r="J251">
        <v>214.59</v>
      </c>
      <c r="K251">
        <v>56.13</v>
      </c>
      <c r="L251">
        <v>1.75</v>
      </c>
      <c r="M251">
        <v>86</v>
      </c>
      <c r="N251">
        <v>46.72</v>
      </c>
      <c r="O251">
        <v>26700.55</v>
      </c>
      <c r="P251">
        <v>211.33</v>
      </c>
      <c r="Q251">
        <v>988.42</v>
      </c>
      <c r="R251">
        <v>92.34</v>
      </c>
      <c r="S251">
        <v>35.43</v>
      </c>
      <c r="T251">
        <v>27042.53</v>
      </c>
      <c r="U251">
        <v>0.38</v>
      </c>
      <c r="V251">
        <v>0.79</v>
      </c>
      <c r="W251">
        <v>3.12</v>
      </c>
      <c r="X251">
        <v>1.76</v>
      </c>
      <c r="Y251">
        <v>1</v>
      </c>
      <c r="Z251">
        <v>10</v>
      </c>
    </row>
    <row r="252" spans="1:26" x14ac:dyDescent="0.3">
      <c r="A252">
        <v>4</v>
      </c>
      <c r="B252">
        <v>110</v>
      </c>
      <c r="C252" t="s">
        <v>26</v>
      </c>
      <c r="D252">
        <v>4.9915000000000003</v>
      </c>
      <c r="E252">
        <v>20.03</v>
      </c>
      <c r="F252">
        <v>14.25</v>
      </c>
      <c r="G252">
        <v>11.4</v>
      </c>
      <c r="H252">
        <v>0.17</v>
      </c>
      <c r="I252">
        <v>75</v>
      </c>
      <c r="J252">
        <v>215</v>
      </c>
      <c r="K252">
        <v>56.13</v>
      </c>
      <c r="L252">
        <v>2</v>
      </c>
      <c r="M252">
        <v>73</v>
      </c>
      <c r="N252">
        <v>46.87</v>
      </c>
      <c r="O252">
        <v>26750.75</v>
      </c>
      <c r="P252">
        <v>206.7</v>
      </c>
      <c r="Q252">
        <v>988.34</v>
      </c>
      <c r="R252">
        <v>84.14</v>
      </c>
      <c r="S252">
        <v>35.43</v>
      </c>
      <c r="T252">
        <v>23005.47</v>
      </c>
      <c r="U252">
        <v>0.42</v>
      </c>
      <c r="V252">
        <v>0.8</v>
      </c>
      <c r="W252">
        <v>3.09</v>
      </c>
      <c r="X252">
        <v>1.5</v>
      </c>
      <c r="Y252">
        <v>1</v>
      </c>
      <c r="Z252">
        <v>10</v>
      </c>
    </row>
    <row r="253" spans="1:26" x14ac:dyDescent="0.3">
      <c r="A253">
        <v>5</v>
      </c>
      <c r="B253">
        <v>110</v>
      </c>
      <c r="C253" t="s">
        <v>26</v>
      </c>
      <c r="D253">
        <v>5.1340000000000003</v>
      </c>
      <c r="E253">
        <v>19.48</v>
      </c>
      <c r="F253">
        <v>14.08</v>
      </c>
      <c r="G253">
        <v>12.8</v>
      </c>
      <c r="H253">
        <v>0.19</v>
      </c>
      <c r="I253">
        <v>66</v>
      </c>
      <c r="J253">
        <v>215.41</v>
      </c>
      <c r="K253">
        <v>56.13</v>
      </c>
      <c r="L253">
        <v>2.25</v>
      </c>
      <c r="M253">
        <v>64</v>
      </c>
      <c r="N253">
        <v>47.03</v>
      </c>
      <c r="O253">
        <v>26801</v>
      </c>
      <c r="P253">
        <v>203.04</v>
      </c>
      <c r="Q253">
        <v>988.39</v>
      </c>
      <c r="R253">
        <v>78.61</v>
      </c>
      <c r="S253">
        <v>35.43</v>
      </c>
      <c r="T253">
        <v>20284.900000000001</v>
      </c>
      <c r="U253">
        <v>0.45</v>
      </c>
      <c r="V253">
        <v>0.81</v>
      </c>
      <c r="W253">
        <v>3.08</v>
      </c>
      <c r="X253">
        <v>1.32</v>
      </c>
      <c r="Y253">
        <v>1</v>
      </c>
      <c r="Z253">
        <v>10</v>
      </c>
    </row>
    <row r="254" spans="1:26" x14ac:dyDescent="0.3">
      <c r="A254">
        <v>6</v>
      </c>
      <c r="B254">
        <v>110</v>
      </c>
      <c r="C254" t="s">
        <v>26</v>
      </c>
      <c r="D254">
        <v>5.2584</v>
      </c>
      <c r="E254">
        <v>19.02</v>
      </c>
      <c r="F254">
        <v>13.91</v>
      </c>
      <c r="G254">
        <v>14.15</v>
      </c>
      <c r="H254">
        <v>0.21</v>
      </c>
      <c r="I254">
        <v>59</v>
      </c>
      <c r="J254">
        <v>215.82</v>
      </c>
      <c r="K254">
        <v>56.13</v>
      </c>
      <c r="L254">
        <v>2.5</v>
      </c>
      <c r="M254">
        <v>57</v>
      </c>
      <c r="N254">
        <v>47.19</v>
      </c>
      <c r="O254">
        <v>26851.31</v>
      </c>
      <c r="P254">
        <v>199.88</v>
      </c>
      <c r="Q254">
        <v>988.25</v>
      </c>
      <c r="R254">
        <v>73.69</v>
      </c>
      <c r="S254">
        <v>35.43</v>
      </c>
      <c r="T254">
        <v>17859.72</v>
      </c>
      <c r="U254">
        <v>0.48</v>
      </c>
      <c r="V254">
        <v>0.82</v>
      </c>
      <c r="W254">
        <v>3.06</v>
      </c>
      <c r="X254">
        <v>1.1599999999999999</v>
      </c>
      <c r="Y254">
        <v>1</v>
      </c>
      <c r="Z254">
        <v>10</v>
      </c>
    </row>
    <row r="255" spans="1:26" x14ac:dyDescent="0.3">
      <c r="A255">
        <v>7</v>
      </c>
      <c r="B255">
        <v>110</v>
      </c>
      <c r="C255" t="s">
        <v>26</v>
      </c>
      <c r="D255">
        <v>5.3586999999999998</v>
      </c>
      <c r="E255">
        <v>18.66</v>
      </c>
      <c r="F255">
        <v>13.81</v>
      </c>
      <c r="G255">
        <v>15.63</v>
      </c>
      <c r="H255">
        <v>0.23</v>
      </c>
      <c r="I255">
        <v>53</v>
      </c>
      <c r="J255">
        <v>216.22</v>
      </c>
      <c r="K255">
        <v>56.13</v>
      </c>
      <c r="L255">
        <v>2.75</v>
      </c>
      <c r="M255">
        <v>51</v>
      </c>
      <c r="N255">
        <v>47.35</v>
      </c>
      <c r="O255">
        <v>26901.66</v>
      </c>
      <c r="P255">
        <v>197.6</v>
      </c>
      <c r="Q255">
        <v>988.13</v>
      </c>
      <c r="R255">
        <v>70.36</v>
      </c>
      <c r="S255">
        <v>35.43</v>
      </c>
      <c r="T255">
        <v>16223.74</v>
      </c>
      <c r="U255">
        <v>0.5</v>
      </c>
      <c r="V255">
        <v>0.83</v>
      </c>
      <c r="W255">
        <v>3.06</v>
      </c>
      <c r="X255">
        <v>1.06</v>
      </c>
      <c r="Y255">
        <v>1</v>
      </c>
      <c r="Z255">
        <v>10</v>
      </c>
    </row>
    <row r="256" spans="1:26" x14ac:dyDescent="0.3">
      <c r="A256">
        <v>8</v>
      </c>
      <c r="B256">
        <v>110</v>
      </c>
      <c r="C256" t="s">
        <v>26</v>
      </c>
      <c r="D256">
        <v>5.4538000000000002</v>
      </c>
      <c r="E256">
        <v>18.34</v>
      </c>
      <c r="F256">
        <v>13.7</v>
      </c>
      <c r="G256">
        <v>17.12</v>
      </c>
      <c r="H256">
        <v>0.25</v>
      </c>
      <c r="I256">
        <v>48</v>
      </c>
      <c r="J256">
        <v>216.63</v>
      </c>
      <c r="K256">
        <v>56.13</v>
      </c>
      <c r="L256">
        <v>3</v>
      </c>
      <c r="M256">
        <v>46</v>
      </c>
      <c r="N256">
        <v>47.51</v>
      </c>
      <c r="O256">
        <v>26952.080000000002</v>
      </c>
      <c r="P256">
        <v>195.05</v>
      </c>
      <c r="Q256">
        <v>988.39</v>
      </c>
      <c r="R256">
        <v>67.11</v>
      </c>
      <c r="S256">
        <v>35.43</v>
      </c>
      <c r="T256">
        <v>14623.71</v>
      </c>
      <c r="U256">
        <v>0.53</v>
      </c>
      <c r="V256">
        <v>0.83</v>
      </c>
      <c r="W256">
        <v>3.04</v>
      </c>
      <c r="X256">
        <v>0.94</v>
      </c>
      <c r="Y256">
        <v>1</v>
      </c>
      <c r="Z256">
        <v>10</v>
      </c>
    </row>
    <row r="257" spans="1:26" x14ac:dyDescent="0.3">
      <c r="A257">
        <v>9</v>
      </c>
      <c r="B257">
        <v>110</v>
      </c>
      <c r="C257" t="s">
        <v>26</v>
      </c>
      <c r="D257">
        <v>5.5259</v>
      </c>
      <c r="E257">
        <v>18.100000000000001</v>
      </c>
      <c r="F257">
        <v>13.63</v>
      </c>
      <c r="G257">
        <v>18.579999999999998</v>
      </c>
      <c r="H257">
        <v>0.27</v>
      </c>
      <c r="I257">
        <v>44</v>
      </c>
      <c r="J257">
        <v>217.04</v>
      </c>
      <c r="K257">
        <v>56.13</v>
      </c>
      <c r="L257">
        <v>3.25</v>
      </c>
      <c r="M257">
        <v>42</v>
      </c>
      <c r="N257">
        <v>47.66</v>
      </c>
      <c r="O257">
        <v>27002.55</v>
      </c>
      <c r="P257">
        <v>193.3</v>
      </c>
      <c r="Q257">
        <v>988.15</v>
      </c>
      <c r="R257">
        <v>64.94</v>
      </c>
      <c r="S257">
        <v>35.43</v>
      </c>
      <c r="T257">
        <v>13562.99</v>
      </c>
      <c r="U257">
        <v>0.55000000000000004</v>
      </c>
      <c r="V257">
        <v>0.84</v>
      </c>
      <c r="W257">
        <v>3.03</v>
      </c>
      <c r="X257">
        <v>0.87</v>
      </c>
      <c r="Y257">
        <v>1</v>
      </c>
      <c r="Z257">
        <v>10</v>
      </c>
    </row>
    <row r="258" spans="1:26" x14ac:dyDescent="0.3">
      <c r="A258">
        <v>10</v>
      </c>
      <c r="B258">
        <v>110</v>
      </c>
      <c r="C258" t="s">
        <v>26</v>
      </c>
      <c r="D258">
        <v>5.5888</v>
      </c>
      <c r="E258">
        <v>17.89</v>
      </c>
      <c r="F258">
        <v>13.55</v>
      </c>
      <c r="G258">
        <v>19.829999999999998</v>
      </c>
      <c r="H258">
        <v>0.28999999999999998</v>
      </c>
      <c r="I258">
        <v>41</v>
      </c>
      <c r="J258">
        <v>217.45</v>
      </c>
      <c r="K258">
        <v>56.13</v>
      </c>
      <c r="L258">
        <v>3.5</v>
      </c>
      <c r="M258">
        <v>39</v>
      </c>
      <c r="N258">
        <v>47.82</v>
      </c>
      <c r="O258">
        <v>27053.07</v>
      </c>
      <c r="P258">
        <v>191.35</v>
      </c>
      <c r="Q258">
        <v>988.18</v>
      </c>
      <c r="R258">
        <v>62.59</v>
      </c>
      <c r="S258">
        <v>35.43</v>
      </c>
      <c r="T258">
        <v>12401.69</v>
      </c>
      <c r="U258">
        <v>0.56999999999999995</v>
      </c>
      <c r="V258">
        <v>0.84</v>
      </c>
      <c r="W258">
        <v>3.03</v>
      </c>
      <c r="X258">
        <v>0.79</v>
      </c>
      <c r="Y258">
        <v>1</v>
      </c>
      <c r="Z258">
        <v>10</v>
      </c>
    </row>
    <row r="259" spans="1:26" x14ac:dyDescent="0.3">
      <c r="A259">
        <v>11</v>
      </c>
      <c r="B259">
        <v>110</v>
      </c>
      <c r="C259" t="s">
        <v>26</v>
      </c>
      <c r="D259">
        <v>5.6471999999999998</v>
      </c>
      <c r="E259">
        <v>17.71</v>
      </c>
      <c r="F259">
        <v>13.49</v>
      </c>
      <c r="G259">
        <v>21.3</v>
      </c>
      <c r="H259">
        <v>0.31</v>
      </c>
      <c r="I259">
        <v>38</v>
      </c>
      <c r="J259">
        <v>217.86</v>
      </c>
      <c r="K259">
        <v>56.13</v>
      </c>
      <c r="L259">
        <v>3.75</v>
      </c>
      <c r="M259">
        <v>36</v>
      </c>
      <c r="N259">
        <v>47.98</v>
      </c>
      <c r="O259">
        <v>27103.65</v>
      </c>
      <c r="P259">
        <v>189.45</v>
      </c>
      <c r="Q259">
        <v>988.28</v>
      </c>
      <c r="R259">
        <v>60.64</v>
      </c>
      <c r="S259">
        <v>35.43</v>
      </c>
      <c r="T259">
        <v>11439.54</v>
      </c>
      <c r="U259">
        <v>0.57999999999999996</v>
      </c>
      <c r="V259">
        <v>0.84</v>
      </c>
      <c r="W259">
        <v>3.02</v>
      </c>
      <c r="X259">
        <v>0.74</v>
      </c>
      <c r="Y259">
        <v>1</v>
      </c>
      <c r="Z259">
        <v>10</v>
      </c>
    </row>
    <row r="260" spans="1:26" x14ac:dyDescent="0.3">
      <c r="A260">
        <v>12</v>
      </c>
      <c r="B260">
        <v>110</v>
      </c>
      <c r="C260" t="s">
        <v>26</v>
      </c>
      <c r="D260">
        <v>5.7077</v>
      </c>
      <c r="E260">
        <v>17.52</v>
      </c>
      <c r="F260">
        <v>13.43</v>
      </c>
      <c r="G260">
        <v>23.02</v>
      </c>
      <c r="H260">
        <v>0.33</v>
      </c>
      <c r="I260">
        <v>35</v>
      </c>
      <c r="J260">
        <v>218.27</v>
      </c>
      <c r="K260">
        <v>56.13</v>
      </c>
      <c r="L260">
        <v>4</v>
      </c>
      <c r="M260">
        <v>33</v>
      </c>
      <c r="N260">
        <v>48.15</v>
      </c>
      <c r="O260">
        <v>27154.29</v>
      </c>
      <c r="P260">
        <v>187.87</v>
      </c>
      <c r="Q260">
        <v>988.18</v>
      </c>
      <c r="R260">
        <v>58.79</v>
      </c>
      <c r="S260">
        <v>35.43</v>
      </c>
      <c r="T260">
        <v>10528.81</v>
      </c>
      <c r="U260">
        <v>0.6</v>
      </c>
      <c r="V260">
        <v>0.85</v>
      </c>
      <c r="W260">
        <v>3.02</v>
      </c>
      <c r="X260">
        <v>0.68</v>
      </c>
      <c r="Y260">
        <v>1</v>
      </c>
      <c r="Z260">
        <v>10</v>
      </c>
    </row>
    <row r="261" spans="1:26" x14ac:dyDescent="0.3">
      <c r="A261">
        <v>13</v>
      </c>
      <c r="B261">
        <v>110</v>
      </c>
      <c r="C261" t="s">
        <v>26</v>
      </c>
      <c r="D261">
        <v>5.7491000000000003</v>
      </c>
      <c r="E261">
        <v>17.39</v>
      </c>
      <c r="F261">
        <v>13.39</v>
      </c>
      <c r="G261">
        <v>24.34</v>
      </c>
      <c r="H261">
        <v>0.35</v>
      </c>
      <c r="I261">
        <v>33</v>
      </c>
      <c r="J261">
        <v>218.68</v>
      </c>
      <c r="K261">
        <v>56.13</v>
      </c>
      <c r="L261">
        <v>4.25</v>
      </c>
      <c r="M261">
        <v>31</v>
      </c>
      <c r="N261">
        <v>48.31</v>
      </c>
      <c r="O261">
        <v>27204.98</v>
      </c>
      <c r="P261">
        <v>186.24</v>
      </c>
      <c r="Q261">
        <v>988.16</v>
      </c>
      <c r="R261">
        <v>57.47</v>
      </c>
      <c r="S261">
        <v>35.43</v>
      </c>
      <c r="T261">
        <v>9879.1200000000008</v>
      </c>
      <c r="U261">
        <v>0.62</v>
      </c>
      <c r="V261">
        <v>0.85</v>
      </c>
      <c r="W261">
        <v>3.02</v>
      </c>
      <c r="X261">
        <v>0.63</v>
      </c>
      <c r="Y261">
        <v>1</v>
      </c>
      <c r="Z261">
        <v>10</v>
      </c>
    </row>
    <row r="262" spans="1:26" x14ac:dyDescent="0.3">
      <c r="A262">
        <v>14</v>
      </c>
      <c r="B262">
        <v>110</v>
      </c>
      <c r="C262" t="s">
        <v>26</v>
      </c>
      <c r="D262">
        <v>5.7828999999999997</v>
      </c>
      <c r="E262">
        <v>17.29</v>
      </c>
      <c r="F262">
        <v>13.37</v>
      </c>
      <c r="G262">
        <v>25.88</v>
      </c>
      <c r="H262">
        <v>0.36</v>
      </c>
      <c r="I262">
        <v>31</v>
      </c>
      <c r="J262">
        <v>219.09</v>
      </c>
      <c r="K262">
        <v>56.13</v>
      </c>
      <c r="L262">
        <v>4.5</v>
      </c>
      <c r="M262">
        <v>29</v>
      </c>
      <c r="N262">
        <v>48.47</v>
      </c>
      <c r="O262">
        <v>27255.72</v>
      </c>
      <c r="P262">
        <v>185.28</v>
      </c>
      <c r="Q262">
        <v>988.19</v>
      </c>
      <c r="R262">
        <v>56.88</v>
      </c>
      <c r="S262">
        <v>35.43</v>
      </c>
      <c r="T262">
        <v>9598.5499999999993</v>
      </c>
      <c r="U262">
        <v>0.62</v>
      </c>
      <c r="V262">
        <v>0.85</v>
      </c>
      <c r="W262">
        <v>3.02</v>
      </c>
      <c r="X262">
        <v>0.62</v>
      </c>
      <c r="Y262">
        <v>1</v>
      </c>
      <c r="Z262">
        <v>10</v>
      </c>
    </row>
    <row r="263" spans="1:26" x14ac:dyDescent="0.3">
      <c r="A263">
        <v>15</v>
      </c>
      <c r="B263">
        <v>110</v>
      </c>
      <c r="C263" t="s">
        <v>26</v>
      </c>
      <c r="D263">
        <v>5.8303000000000003</v>
      </c>
      <c r="E263">
        <v>17.149999999999999</v>
      </c>
      <c r="F263">
        <v>13.31</v>
      </c>
      <c r="G263">
        <v>27.55</v>
      </c>
      <c r="H263">
        <v>0.38</v>
      </c>
      <c r="I263">
        <v>29</v>
      </c>
      <c r="J263">
        <v>219.51</v>
      </c>
      <c r="K263">
        <v>56.13</v>
      </c>
      <c r="L263">
        <v>4.75</v>
      </c>
      <c r="M263">
        <v>27</v>
      </c>
      <c r="N263">
        <v>48.63</v>
      </c>
      <c r="O263">
        <v>27306.53</v>
      </c>
      <c r="P263">
        <v>183.46</v>
      </c>
      <c r="Q263">
        <v>988.18</v>
      </c>
      <c r="R263">
        <v>55.18</v>
      </c>
      <c r="S263">
        <v>35.43</v>
      </c>
      <c r="T263">
        <v>8757.92</v>
      </c>
      <c r="U263">
        <v>0.64</v>
      </c>
      <c r="V263">
        <v>0.86</v>
      </c>
      <c r="W263">
        <v>3.01</v>
      </c>
      <c r="X263">
        <v>0.56000000000000005</v>
      </c>
      <c r="Y263">
        <v>1</v>
      </c>
      <c r="Z263">
        <v>10</v>
      </c>
    </row>
    <row r="264" spans="1:26" x14ac:dyDescent="0.3">
      <c r="A264">
        <v>16</v>
      </c>
      <c r="B264">
        <v>110</v>
      </c>
      <c r="C264" t="s">
        <v>26</v>
      </c>
      <c r="D264">
        <v>5.8456000000000001</v>
      </c>
      <c r="E264">
        <v>17.11</v>
      </c>
      <c r="F264">
        <v>13.31</v>
      </c>
      <c r="G264">
        <v>28.53</v>
      </c>
      <c r="H264">
        <v>0.4</v>
      </c>
      <c r="I264">
        <v>28</v>
      </c>
      <c r="J264">
        <v>219.92</v>
      </c>
      <c r="K264">
        <v>56.13</v>
      </c>
      <c r="L264">
        <v>5</v>
      </c>
      <c r="M264">
        <v>26</v>
      </c>
      <c r="N264">
        <v>48.79</v>
      </c>
      <c r="O264">
        <v>27357.39</v>
      </c>
      <c r="P264">
        <v>182.58</v>
      </c>
      <c r="Q264">
        <v>988.11</v>
      </c>
      <c r="R264">
        <v>55.22</v>
      </c>
      <c r="S264">
        <v>35.43</v>
      </c>
      <c r="T264">
        <v>8780.01</v>
      </c>
      <c r="U264">
        <v>0.64</v>
      </c>
      <c r="V264">
        <v>0.86</v>
      </c>
      <c r="W264">
        <v>3.01</v>
      </c>
      <c r="X264">
        <v>0.56000000000000005</v>
      </c>
      <c r="Y264">
        <v>1</v>
      </c>
      <c r="Z264">
        <v>10</v>
      </c>
    </row>
    <row r="265" spans="1:26" x14ac:dyDescent="0.3">
      <c r="A265">
        <v>17</v>
      </c>
      <c r="B265">
        <v>110</v>
      </c>
      <c r="C265" t="s">
        <v>26</v>
      </c>
      <c r="D265">
        <v>5.8943000000000003</v>
      </c>
      <c r="E265">
        <v>16.97</v>
      </c>
      <c r="F265">
        <v>13.26</v>
      </c>
      <c r="G265">
        <v>30.59</v>
      </c>
      <c r="H265">
        <v>0.42</v>
      </c>
      <c r="I265">
        <v>26</v>
      </c>
      <c r="J265">
        <v>220.33</v>
      </c>
      <c r="K265">
        <v>56.13</v>
      </c>
      <c r="L265">
        <v>5.25</v>
      </c>
      <c r="M265">
        <v>24</v>
      </c>
      <c r="N265">
        <v>48.95</v>
      </c>
      <c r="O265">
        <v>27408.3</v>
      </c>
      <c r="P265">
        <v>180.87</v>
      </c>
      <c r="Q265">
        <v>988.29</v>
      </c>
      <c r="R265">
        <v>53.12</v>
      </c>
      <c r="S265">
        <v>35.43</v>
      </c>
      <c r="T265">
        <v>7741.92</v>
      </c>
      <c r="U265">
        <v>0.67</v>
      </c>
      <c r="V265">
        <v>0.86</v>
      </c>
      <c r="W265">
        <v>3.01</v>
      </c>
      <c r="X265">
        <v>0.5</v>
      </c>
      <c r="Y265">
        <v>1</v>
      </c>
      <c r="Z265">
        <v>10</v>
      </c>
    </row>
    <row r="266" spans="1:26" x14ac:dyDescent="0.3">
      <c r="A266">
        <v>18</v>
      </c>
      <c r="B266">
        <v>110</v>
      </c>
      <c r="C266" t="s">
        <v>26</v>
      </c>
      <c r="D266">
        <v>5.9180999999999999</v>
      </c>
      <c r="E266">
        <v>16.899999999999999</v>
      </c>
      <c r="F266">
        <v>13.23</v>
      </c>
      <c r="G266">
        <v>31.75</v>
      </c>
      <c r="H266">
        <v>0.44</v>
      </c>
      <c r="I266">
        <v>25</v>
      </c>
      <c r="J266">
        <v>220.74</v>
      </c>
      <c r="K266">
        <v>56.13</v>
      </c>
      <c r="L266">
        <v>5.5</v>
      </c>
      <c r="M266">
        <v>23</v>
      </c>
      <c r="N266">
        <v>49.12</v>
      </c>
      <c r="O266">
        <v>27459.27</v>
      </c>
      <c r="P266">
        <v>179.6</v>
      </c>
      <c r="Q266">
        <v>988.12</v>
      </c>
      <c r="R266">
        <v>52.68</v>
      </c>
      <c r="S266">
        <v>35.43</v>
      </c>
      <c r="T266">
        <v>7525.39</v>
      </c>
      <c r="U266">
        <v>0.67</v>
      </c>
      <c r="V266">
        <v>0.86</v>
      </c>
      <c r="W266">
        <v>3</v>
      </c>
      <c r="X266">
        <v>0.47</v>
      </c>
      <c r="Y266">
        <v>1</v>
      </c>
      <c r="Z266">
        <v>10</v>
      </c>
    </row>
    <row r="267" spans="1:26" x14ac:dyDescent="0.3">
      <c r="A267">
        <v>19</v>
      </c>
      <c r="B267">
        <v>110</v>
      </c>
      <c r="C267" t="s">
        <v>26</v>
      </c>
      <c r="D267">
        <v>5.9416000000000002</v>
      </c>
      <c r="E267">
        <v>16.829999999999998</v>
      </c>
      <c r="F267">
        <v>13.2</v>
      </c>
      <c r="G267">
        <v>33.01</v>
      </c>
      <c r="H267">
        <v>0.46</v>
      </c>
      <c r="I267">
        <v>24</v>
      </c>
      <c r="J267">
        <v>221.16</v>
      </c>
      <c r="K267">
        <v>56.13</v>
      </c>
      <c r="L267">
        <v>5.75</v>
      </c>
      <c r="M267">
        <v>22</v>
      </c>
      <c r="N267">
        <v>49.28</v>
      </c>
      <c r="O267">
        <v>27510.3</v>
      </c>
      <c r="P267">
        <v>178.19</v>
      </c>
      <c r="Q267">
        <v>988.28</v>
      </c>
      <c r="R267">
        <v>51.65</v>
      </c>
      <c r="S267">
        <v>35.43</v>
      </c>
      <c r="T267">
        <v>7014.44</v>
      </c>
      <c r="U267">
        <v>0.69</v>
      </c>
      <c r="V267">
        <v>0.86</v>
      </c>
      <c r="W267">
        <v>3</v>
      </c>
      <c r="X267">
        <v>0.45</v>
      </c>
      <c r="Y267">
        <v>1</v>
      </c>
      <c r="Z267">
        <v>10</v>
      </c>
    </row>
    <row r="268" spans="1:26" x14ac:dyDescent="0.3">
      <c r="A268">
        <v>20</v>
      </c>
      <c r="B268">
        <v>110</v>
      </c>
      <c r="C268" t="s">
        <v>26</v>
      </c>
      <c r="D268">
        <v>5.9587000000000003</v>
      </c>
      <c r="E268">
        <v>16.78</v>
      </c>
      <c r="F268">
        <v>13.2</v>
      </c>
      <c r="G268">
        <v>34.43</v>
      </c>
      <c r="H268">
        <v>0.48</v>
      </c>
      <c r="I268">
        <v>23</v>
      </c>
      <c r="J268">
        <v>221.57</v>
      </c>
      <c r="K268">
        <v>56.13</v>
      </c>
      <c r="L268">
        <v>6</v>
      </c>
      <c r="M268">
        <v>21</v>
      </c>
      <c r="N268">
        <v>49.45</v>
      </c>
      <c r="O268">
        <v>27561.39</v>
      </c>
      <c r="P268">
        <v>177.39</v>
      </c>
      <c r="Q268">
        <v>988.27</v>
      </c>
      <c r="R268">
        <v>51.61</v>
      </c>
      <c r="S268">
        <v>35.43</v>
      </c>
      <c r="T268">
        <v>6999.77</v>
      </c>
      <c r="U268">
        <v>0.69</v>
      </c>
      <c r="V268">
        <v>0.86</v>
      </c>
      <c r="W268">
        <v>3</v>
      </c>
      <c r="X268">
        <v>0.44</v>
      </c>
      <c r="Y268">
        <v>1</v>
      </c>
      <c r="Z268">
        <v>10</v>
      </c>
    </row>
    <row r="269" spans="1:26" x14ac:dyDescent="0.3">
      <c r="A269">
        <v>21</v>
      </c>
      <c r="B269">
        <v>110</v>
      </c>
      <c r="C269" t="s">
        <v>26</v>
      </c>
      <c r="D269">
        <v>5.9806999999999997</v>
      </c>
      <c r="E269">
        <v>16.72</v>
      </c>
      <c r="F269">
        <v>13.18</v>
      </c>
      <c r="G269">
        <v>35.94</v>
      </c>
      <c r="H269">
        <v>0.5</v>
      </c>
      <c r="I269">
        <v>22</v>
      </c>
      <c r="J269">
        <v>221.99</v>
      </c>
      <c r="K269">
        <v>56.13</v>
      </c>
      <c r="L269">
        <v>6.25</v>
      </c>
      <c r="M269">
        <v>20</v>
      </c>
      <c r="N269">
        <v>49.61</v>
      </c>
      <c r="O269">
        <v>27612.53</v>
      </c>
      <c r="P269">
        <v>176.29</v>
      </c>
      <c r="Q269">
        <v>988.15</v>
      </c>
      <c r="R269">
        <v>50.84</v>
      </c>
      <c r="S269">
        <v>35.43</v>
      </c>
      <c r="T269">
        <v>6621.29</v>
      </c>
      <c r="U269">
        <v>0.7</v>
      </c>
      <c r="V269">
        <v>0.86</v>
      </c>
      <c r="W269">
        <v>3</v>
      </c>
      <c r="X269">
        <v>0.42</v>
      </c>
      <c r="Y269">
        <v>1</v>
      </c>
      <c r="Z269">
        <v>10</v>
      </c>
    </row>
    <row r="270" spans="1:26" x14ac:dyDescent="0.3">
      <c r="A270">
        <v>22</v>
      </c>
      <c r="B270">
        <v>110</v>
      </c>
      <c r="C270" t="s">
        <v>26</v>
      </c>
      <c r="D270">
        <v>6.0063000000000004</v>
      </c>
      <c r="E270">
        <v>16.649999999999999</v>
      </c>
      <c r="F270">
        <v>13.15</v>
      </c>
      <c r="G270">
        <v>37.57</v>
      </c>
      <c r="H270">
        <v>0.52</v>
      </c>
      <c r="I270">
        <v>21</v>
      </c>
      <c r="J270">
        <v>222.4</v>
      </c>
      <c r="K270">
        <v>56.13</v>
      </c>
      <c r="L270">
        <v>6.5</v>
      </c>
      <c r="M270">
        <v>19</v>
      </c>
      <c r="N270">
        <v>49.78</v>
      </c>
      <c r="O270">
        <v>27663.85</v>
      </c>
      <c r="P270">
        <v>174.69</v>
      </c>
      <c r="Q270">
        <v>988.12</v>
      </c>
      <c r="R270">
        <v>50.14</v>
      </c>
      <c r="S270">
        <v>35.43</v>
      </c>
      <c r="T270">
        <v>6276.9</v>
      </c>
      <c r="U270">
        <v>0.71</v>
      </c>
      <c r="V270">
        <v>0.87</v>
      </c>
      <c r="W270">
        <v>3</v>
      </c>
      <c r="X270">
        <v>0.4</v>
      </c>
      <c r="Y270">
        <v>1</v>
      </c>
      <c r="Z270">
        <v>10</v>
      </c>
    </row>
    <row r="271" spans="1:26" x14ac:dyDescent="0.3">
      <c r="A271">
        <v>23</v>
      </c>
      <c r="B271">
        <v>110</v>
      </c>
      <c r="C271" t="s">
        <v>26</v>
      </c>
      <c r="D271">
        <v>6.0339999999999998</v>
      </c>
      <c r="E271">
        <v>16.57</v>
      </c>
      <c r="F271">
        <v>13.12</v>
      </c>
      <c r="G271">
        <v>39.35</v>
      </c>
      <c r="H271">
        <v>0.54</v>
      </c>
      <c r="I271">
        <v>20</v>
      </c>
      <c r="J271">
        <v>222.82</v>
      </c>
      <c r="K271">
        <v>56.13</v>
      </c>
      <c r="L271">
        <v>6.75</v>
      </c>
      <c r="M271">
        <v>18</v>
      </c>
      <c r="N271">
        <v>49.94</v>
      </c>
      <c r="O271">
        <v>27715.11</v>
      </c>
      <c r="P271">
        <v>173.5</v>
      </c>
      <c r="Q271">
        <v>988.08</v>
      </c>
      <c r="R271">
        <v>48.92</v>
      </c>
      <c r="S271">
        <v>35.43</v>
      </c>
      <c r="T271">
        <v>5671.49</v>
      </c>
      <c r="U271">
        <v>0.72</v>
      </c>
      <c r="V271">
        <v>0.87</v>
      </c>
      <c r="W271">
        <v>3</v>
      </c>
      <c r="X271">
        <v>0.36</v>
      </c>
      <c r="Y271">
        <v>1</v>
      </c>
      <c r="Z271">
        <v>10</v>
      </c>
    </row>
    <row r="272" spans="1:26" x14ac:dyDescent="0.3">
      <c r="A272">
        <v>24</v>
      </c>
      <c r="B272">
        <v>110</v>
      </c>
      <c r="C272" t="s">
        <v>26</v>
      </c>
      <c r="D272">
        <v>6.0519999999999996</v>
      </c>
      <c r="E272">
        <v>16.52</v>
      </c>
      <c r="F272">
        <v>13.11</v>
      </c>
      <c r="G272">
        <v>41.39</v>
      </c>
      <c r="H272">
        <v>0.56000000000000005</v>
      </c>
      <c r="I272">
        <v>19</v>
      </c>
      <c r="J272">
        <v>223.23</v>
      </c>
      <c r="K272">
        <v>56.13</v>
      </c>
      <c r="L272">
        <v>7</v>
      </c>
      <c r="M272">
        <v>17</v>
      </c>
      <c r="N272">
        <v>50.11</v>
      </c>
      <c r="O272">
        <v>27766.43</v>
      </c>
      <c r="P272">
        <v>172.46</v>
      </c>
      <c r="Q272">
        <v>988.1</v>
      </c>
      <c r="R272">
        <v>48.78</v>
      </c>
      <c r="S272">
        <v>35.43</v>
      </c>
      <c r="T272">
        <v>5604.49</v>
      </c>
      <c r="U272">
        <v>0.73</v>
      </c>
      <c r="V272">
        <v>0.87</v>
      </c>
      <c r="W272">
        <v>3</v>
      </c>
      <c r="X272">
        <v>0.35</v>
      </c>
      <c r="Y272">
        <v>1</v>
      </c>
      <c r="Z272">
        <v>10</v>
      </c>
    </row>
    <row r="273" spans="1:26" x14ac:dyDescent="0.3">
      <c r="A273">
        <v>25</v>
      </c>
      <c r="B273">
        <v>110</v>
      </c>
      <c r="C273" t="s">
        <v>26</v>
      </c>
      <c r="D273">
        <v>6.0707000000000004</v>
      </c>
      <c r="E273">
        <v>16.47</v>
      </c>
      <c r="F273">
        <v>13.1</v>
      </c>
      <c r="G273">
        <v>43.67</v>
      </c>
      <c r="H273">
        <v>0.57999999999999996</v>
      </c>
      <c r="I273">
        <v>18</v>
      </c>
      <c r="J273">
        <v>223.65</v>
      </c>
      <c r="K273">
        <v>56.13</v>
      </c>
      <c r="L273">
        <v>7.25</v>
      </c>
      <c r="M273">
        <v>16</v>
      </c>
      <c r="N273">
        <v>50.27</v>
      </c>
      <c r="O273">
        <v>27817.81</v>
      </c>
      <c r="P273">
        <v>171.32</v>
      </c>
      <c r="Q273">
        <v>988.22</v>
      </c>
      <c r="R273">
        <v>48.3</v>
      </c>
      <c r="S273">
        <v>35.43</v>
      </c>
      <c r="T273">
        <v>5370.79</v>
      </c>
      <c r="U273">
        <v>0.73</v>
      </c>
      <c r="V273">
        <v>0.87</v>
      </c>
      <c r="W273">
        <v>3</v>
      </c>
      <c r="X273">
        <v>0.35</v>
      </c>
      <c r="Y273">
        <v>1</v>
      </c>
      <c r="Z273">
        <v>10</v>
      </c>
    </row>
    <row r="274" spans="1:26" x14ac:dyDescent="0.3">
      <c r="A274">
        <v>26</v>
      </c>
      <c r="B274">
        <v>110</v>
      </c>
      <c r="C274" t="s">
        <v>26</v>
      </c>
      <c r="D274">
        <v>6.0739000000000001</v>
      </c>
      <c r="E274">
        <v>16.46</v>
      </c>
      <c r="F274">
        <v>13.09</v>
      </c>
      <c r="G274">
        <v>43.64</v>
      </c>
      <c r="H274">
        <v>0.59</v>
      </c>
      <c r="I274">
        <v>18</v>
      </c>
      <c r="J274">
        <v>224.07</v>
      </c>
      <c r="K274">
        <v>56.13</v>
      </c>
      <c r="L274">
        <v>7.5</v>
      </c>
      <c r="M274">
        <v>16</v>
      </c>
      <c r="N274">
        <v>50.44</v>
      </c>
      <c r="O274">
        <v>27869.24</v>
      </c>
      <c r="P274">
        <v>169.84</v>
      </c>
      <c r="Q274">
        <v>988.08</v>
      </c>
      <c r="R274">
        <v>48.24</v>
      </c>
      <c r="S274">
        <v>35.43</v>
      </c>
      <c r="T274">
        <v>5341.52</v>
      </c>
      <c r="U274">
        <v>0.73</v>
      </c>
      <c r="V274">
        <v>0.87</v>
      </c>
      <c r="W274">
        <v>2.99</v>
      </c>
      <c r="X274">
        <v>0.34</v>
      </c>
      <c r="Y274">
        <v>1</v>
      </c>
      <c r="Z274">
        <v>10</v>
      </c>
    </row>
    <row r="275" spans="1:26" x14ac:dyDescent="0.3">
      <c r="A275">
        <v>27</v>
      </c>
      <c r="B275">
        <v>110</v>
      </c>
      <c r="C275" t="s">
        <v>26</v>
      </c>
      <c r="D275">
        <v>6.0949</v>
      </c>
      <c r="E275">
        <v>16.41</v>
      </c>
      <c r="F275">
        <v>13.08</v>
      </c>
      <c r="G275">
        <v>46.15</v>
      </c>
      <c r="H275">
        <v>0.61</v>
      </c>
      <c r="I275">
        <v>17</v>
      </c>
      <c r="J275">
        <v>224.49</v>
      </c>
      <c r="K275">
        <v>56.13</v>
      </c>
      <c r="L275">
        <v>7.75</v>
      </c>
      <c r="M275">
        <v>15</v>
      </c>
      <c r="N275">
        <v>50.61</v>
      </c>
      <c r="O275">
        <v>27920.73</v>
      </c>
      <c r="P275">
        <v>168.37</v>
      </c>
      <c r="Q275">
        <v>988.08</v>
      </c>
      <c r="R275">
        <v>47.77</v>
      </c>
      <c r="S275">
        <v>35.43</v>
      </c>
      <c r="T275">
        <v>5112.33</v>
      </c>
      <c r="U275">
        <v>0.74</v>
      </c>
      <c r="V275">
        <v>0.87</v>
      </c>
      <c r="W275">
        <v>2.99</v>
      </c>
      <c r="X275">
        <v>0.32</v>
      </c>
      <c r="Y275">
        <v>1</v>
      </c>
      <c r="Z275">
        <v>10</v>
      </c>
    </row>
    <row r="276" spans="1:26" x14ac:dyDescent="0.3">
      <c r="A276">
        <v>28</v>
      </c>
      <c r="B276">
        <v>110</v>
      </c>
      <c r="C276" t="s">
        <v>26</v>
      </c>
      <c r="D276">
        <v>6.1182999999999996</v>
      </c>
      <c r="E276">
        <v>16.34</v>
      </c>
      <c r="F276">
        <v>13.06</v>
      </c>
      <c r="G276">
        <v>48.96</v>
      </c>
      <c r="H276">
        <v>0.63</v>
      </c>
      <c r="I276">
        <v>16</v>
      </c>
      <c r="J276">
        <v>224.9</v>
      </c>
      <c r="K276">
        <v>56.13</v>
      </c>
      <c r="L276">
        <v>8</v>
      </c>
      <c r="M276">
        <v>14</v>
      </c>
      <c r="N276">
        <v>50.78</v>
      </c>
      <c r="O276">
        <v>27972.28</v>
      </c>
      <c r="P276">
        <v>167.29</v>
      </c>
      <c r="Q276">
        <v>988.15</v>
      </c>
      <c r="R276">
        <v>47.05</v>
      </c>
      <c r="S276">
        <v>35.43</v>
      </c>
      <c r="T276">
        <v>4756.21</v>
      </c>
      <c r="U276">
        <v>0.75</v>
      </c>
      <c r="V276">
        <v>0.87</v>
      </c>
      <c r="W276">
        <v>2.99</v>
      </c>
      <c r="X276">
        <v>0.3</v>
      </c>
      <c r="Y276">
        <v>1</v>
      </c>
      <c r="Z276">
        <v>10</v>
      </c>
    </row>
    <row r="277" spans="1:26" x14ac:dyDescent="0.3">
      <c r="A277">
        <v>29</v>
      </c>
      <c r="B277">
        <v>110</v>
      </c>
      <c r="C277" t="s">
        <v>26</v>
      </c>
      <c r="D277">
        <v>6.1218000000000004</v>
      </c>
      <c r="E277">
        <v>16.34</v>
      </c>
      <c r="F277">
        <v>13.05</v>
      </c>
      <c r="G277">
        <v>48.92</v>
      </c>
      <c r="H277">
        <v>0.65</v>
      </c>
      <c r="I277">
        <v>16</v>
      </c>
      <c r="J277">
        <v>225.32</v>
      </c>
      <c r="K277">
        <v>56.13</v>
      </c>
      <c r="L277">
        <v>8.25</v>
      </c>
      <c r="M277">
        <v>14</v>
      </c>
      <c r="N277">
        <v>50.95</v>
      </c>
      <c r="O277">
        <v>28023.89</v>
      </c>
      <c r="P277">
        <v>166.56</v>
      </c>
      <c r="Q277">
        <v>988.22</v>
      </c>
      <c r="R277">
        <v>46.97</v>
      </c>
      <c r="S277">
        <v>35.43</v>
      </c>
      <c r="T277">
        <v>4714.7299999999996</v>
      </c>
      <c r="U277">
        <v>0.75</v>
      </c>
      <c r="V277">
        <v>0.87</v>
      </c>
      <c r="W277">
        <v>2.99</v>
      </c>
      <c r="X277">
        <v>0.28999999999999998</v>
      </c>
      <c r="Y277">
        <v>1</v>
      </c>
      <c r="Z277">
        <v>10</v>
      </c>
    </row>
    <row r="278" spans="1:26" x14ac:dyDescent="0.3">
      <c r="A278">
        <v>30</v>
      </c>
      <c r="B278">
        <v>110</v>
      </c>
      <c r="C278" t="s">
        <v>26</v>
      </c>
      <c r="D278">
        <v>6.1398999999999999</v>
      </c>
      <c r="E278">
        <v>16.29</v>
      </c>
      <c r="F278">
        <v>13.04</v>
      </c>
      <c r="G278">
        <v>52.16</v>
      </c>
      <c r="H278">
        <v>0.67</v>
      </c>
      <c r="I278">
        <v>15</v>
      </c>
      <c r="J278">
        <v>225.74</v>
      </c>
      <c r="K278">
        <v>56.13</v>
      </c>
      <c r="L278">
        <v>8.5</v>
      </c>
      <c r="M278">
        <v>13</v>
      </c>
      <c r="N278">
        <v>51.11</v>
      </c>
      <c r="O278">
        <v>28075.56</v>
      </c>
      <c r="P278">
        <v>164.98</v>
      </c>
      <c r="Q278">
        <v>988.08</v>
      </c>
      <c r="R278">
        <v>46.8</v>
      </c>
      <c r="S278">
        <v>35.43</v>
      </c>
      <c r="T278">
        <v>4634.8900000000003</v>
      </c>
      <c r="U278">
        <v>0.76</v>
      </c>
      <c r="V278">
        <v>0.87</v>
      </c>
      <c r="W278">
        <v>2.99</v>
      </c>
      <c r="X278">
        <v>0.28999999999999998</v>
      </c>
      <c r="Y278">
        <v>1</v>
      </c>
      <c r="Z278">
        <v>10</v>
      </c>
    </row>
    <row r="279" spans="1:26" x14ac:dyDescent="0.3">
      <c r="A279">
        <v>31</v>
      </c>
      <c r="B279">
        <v>110</v>
      </c>
      <c r="C279" t="s">
        <v>26</v>
      </c>
      <c r="D279">
        <v>6.1468999999999996</v>
      </c>
      <c r="E279">
        <v>16.27</v>
      </c>
      <c r="F279">
        <v>13.02</v>
      </c>
      <c r="G279">
        <v>52.09</v>
      </c>
      <c r="H279">
        <v>0.69</v>
      </c>
      <c r="I279">
        <v>15</v>
      </c>
      <c r="J279">
        <v>226.16</v>
      </c>
      <c r="K279">
        <v>56.13</v>
      </c>
      <c r="L279">
        <v>8.75</v>
      </c>
      <c r="M279">
        <v>13</v>
      </c>
      <c r="N279">
        <v>51.28</v>
      </c>
      <c r="O279">
        <v>28127.29</v>
      </c>
      <c r="P279">
        <v>164.04</v>
      </c>
      <c r="Q279">
        <v>988.08</v>
      </c>
      <c r="R279">
        <v>46.3</v>
      </c>
      <c r="S279">
        <v>35.43</v>
      </c>
      <c r="T279">
        <v>4386.1499999999996</v>
      </c>
      <c r="U279">
        <v>0.77</v>
      </c>
      <c r="V279">
        <v>0.88</v>
      </c>
      <c r="W279">
        <v>2.98</v>
      </c>
      <c r="X279">
        <v>0.27</v>
      </c>
      <c r="Y279">
        <v>1</v>
      </c>
      <c r="Z279">
        <v>10</v>
      </c>
    </row>
    <row r="280" spans="1:26" x14ac:dyDescent="0.3">
      <c r="A280">
        <v>32</v>
      </c>
      <c r="B280">
        <v>110</v>
      </c>
      <c r="C280" t="s">
        <v>26</v>
      </c>
      <c r="D280">
        <v>6.1696999999999997</v>
      </c>
      <c r="E280">
        <v>16.21</v>
      </c>
      <c r="F280">
        <v>13</v>
      </c>
      <c r="G280">
        <v>55.73</v>
      </c>
      <c r="H280">
        <v>0.71</v>
      </c>
      <c r="I280">
        <v>14</v>
      </c>
      <c r="J280">
        <v>226.58</v>
      </c>
      <c r="K280">
        <v>56.13</v>
      </c>
      <c r="L280">
        <v>9</v>
      </c>
      <c r="M280">
        <v>12</v>
      </c>
      <c r="N280">
        <v>51.45</v>
      </c>
      <c r="O280">
        <v>28179.08</v>
      </c>
      <c r="P280">
        <v>162.52000000000001</v>
      </c>
      <c r="Q280">
        <v>988.14</v>
      </c>
      <c r="R280">
        <v>45.57</v>
      </c>
      <c r="S280">
        <v>35.43</v>
      </c>
      <c r="T280">
        <v>4027.7</v>
      </c>
      <c r="U280">
        <v>0.78</v>
      </c>
      <c r="V280">
        <v>0.88</v>
      </c>
      <c r="W280">
        <v>2.98</v>
      </c>
      <c r="X280">
        <v>0.25</v>
      </c>
      <c r="Y280">
        <v>1</v>
      </c>
      <c r="Z280">
        <v>10</v>
      </c>
    </row>
    <row r="281" spans="1:26" x14ac:dyDescent="0.3">
      <c r="A281">
        <v>33</v>
      </c>
      <c r="B281">
        <v>110</v>
      </c>
      <c r="C281" t="s">
        <v>26</v>
      </c>
      <c r="D281">
        <v>6.1673999999999998</v>
      </c>
      <c r="E281">
        <v>16.21</v>
      </c>
      <c r="F281">
        <v>13.01</v>
      </c>
      <c r="G281">
        <v>55.76</v>
      </c>
      <c r="H281">
        <v>0.72</v>
      </c>
      <c r="I281">
        <v>14</v>
      </c>
      <c r="J281">
        <v>227</v>
      </c>
      <c r="K281">
        <v>56.13</v>
      </c>
      <c r="L281">
        <v>9.25</v>
      </c>
      <c r="M281">
        <v>12</v>
      </c>
      <c r="N281">
        <v>51.62</v>
      </c>
      <c r="O281">
        <v>28230.92</v>
      </c>
      <c r="P281">
        <v>162.16999999999999</v>
      </c>
      <c r="Q281">
        <v>988.11</v>
      </c>
      <c r="R281">
        <v>45.63</v>
      </c>
      <c r="S281">
        <v>35.43</v>
      </c>
      <c r="T281">
        <v>4058.07</v>
      </c>
      <c r="U281">
        <v>0.78</v>
      </c>
      <c r="V281">
        <v>0.88</v>
      </c>
      <c r="W281">
        <v>2.99</v>
      </c>
      <c r="X281">
        <v>0.26</v>
      </c>
      <c r="Y281">
        <v>1</v>
      </c>
      <c r="Z281">
        <v>10</v>
      </c>
    </row>
    <row r="282" spans="1:26" x14ac:dyDescent="0.3">
      <c r="A282">
        <v>34</v>
      </c>
      <c r="B282">
        <v>110</v>
      </c>
      <c r="C282" t="s">
        <v>26</v>
      </c>
      <c r="D282">
        <v>6.1943999999999999</v>
      </c>
      <c r="E282">
        <v>16.14</v>
      </c>
      <c r="F282">
        <v>12.98</v>
      </c>
      <c r="G282">
        <v>59.92</v>
      </c>
      <c r="H282">
        <v>0.74</v>
      </c>
      <c r="I282">
        <v>13</v>
      </c>
      <c r="J282">
        <v>227.42</v>
      </c>
      <c r="K282">
        <v>56.13</v>
      </c>
      <c r="L282">
        <v>9.5</v>
      </c>
      <c r="M282">
        <v>11</v>
      </c>
      <c r="N282">
        <v>51.8</v>
      </c>
      <c r="O282">
        <v>28282.83</v>
      </c>
      <c r="P282">
        <v>159.38</v>
      </c>
      <c r="Q282">
        <v>988.16</v>
      </c>
      <c r="R282">
        <v>44.79</v>
      </c>
      <c r="S282">
        <v>35.43</v>
      </c>
      <c r="T282">
        <v>3639.51</v>
      </c>
      <c r="U282">
        <v>0.79</v>
      </c>
      <c r="V282">
        <v>0.88</v>
      </c>
      <c r="W282">
        <v>2.98</v>
      </c>
      <c r="X282">
        <v>0.23</v>
      </c>
      <c r="Y282">
        <v>1</v>
      </c>
      <c r="Z282">
        <v>10</v>
      </c>
    </row>
    <row r="283" spans="1:26" x14ac:dyDescent="0.3">
      <c r="A283">
        <v>35</v>
      </c>
      <c r="B283">
        <v>110</v>
      </c>
      <c r="C283" t="s">
        <v>26</v>
      </c>
      <c r="D283">
        <v>6.1859000000000002</v>
      </c>
      <c r="E283">
        <v>16.170000000000002</v>
      </c>
      <c r="F283">
        <v>13</v>
      </c>
      <c r="G283">
        <v>60.02</v>
      </c>
      <c r="H283">
        <v>0.76</v>
      </c>
      <c r="I283">
        <v>13</v>
      </c>
      <c r="J283">
        <v>227.84</v>
      </c>
      <c r="K283">
        <v>56.13</v>
      </c>
      <c r="L283">
        <v>9.75</v>
      </c>
      <c r="M283">
        <v>11</v>
      </c>
      <c r="N283">
        <v>51.97</v>
      </c>
      <c r="O283">
        <v>28334.799999999999</v>
      </c>
      <c r="P283">
        <v>159.18</v>
      </c>
      <c r="Q283">
        <v>988.08</v>
      </c>
      <c r="R283">
        <v>45.59</v>
      </c>
      <c r="S283">
        <v>35.43</v>
      </c>
      <c r="T283">
        <v>4039.11</v>
      </c>
      <c r="U283">
        <v>0.78</v>
      </c>
      <c r="V283">
        <v>0.88</v>
      </c>
      <c r="W283">
        <v>2.99</v>
      </c>
      <c r="X283">
        <v>0.25</v>
      </c>
      <c r="Y283">
        <v>1</v>
      </c>
      <c r="Z283">
        <v>10</v>
      </c>
    </row>
    <row r="284" spans="1:26" x14ac:dyDescent="0.3">
      <c r="A284">
        <v>36</v>
      </c>
      <c r="B284">
        <v>110</v>
      </c>
      <c r="C284" t="s">
        <v>26</v>
      </c>
      <c r="D284">
        <v>6.1920000000000002</v>
      </c>
      <c r="E284">
        <v>16.149999999999999</v>
      </c>
      <c r="F284">
        <v>12.99</v>
      </c>
      <c r="G284">
        <v>59.95</v>
      </c>
      <c r="H284">
        <v>0.78</v>
      </c>
      <c r="I284">
        <v>13</v>
      </c>
      <c r="J284">
        <v>228.27</v>
      </c>
      <c r="K284">
        <v>56.13</v>
      </c>
      <c r="L284">
        <v>10</v>
      </c>
      <c r="M284">
        <v>11</v>
      </c>
      <c r="N284">
        <v>52.14</v>
      </c>
      <c r="O284">
        <v>28386.82</v>
      </c>
      <c r="P284">
        <v>158.34</v>
      </c>
      <c r="Q284">
        <v>988.09</v>
      </c>
      <c r="R284">
        <v>45.07</v>
      </c>
      <c r="S284">
        <v>35.43</v>
      </c>
      <c r="T284">
        <v>3783.57</v>
      </c>
      <c r="U284">
        <v>0.79</v>
      </c>
      <c r="V284">
        <v>0.88</v>
      </c>
      <c r="W284">
        <v>2.98</v>
      </c>
      <c r="X284">
        <v>0.23</v>
      </c>
      <c r="Y284">
        <v>1</v>
      </c>
      <c r="Z284">
        <v>10</v>
      </c>
    </row>
    <row r="285" spans="1:26" x14ac:dyDescent="0.3">
      <c r="A285">
        <v>37</v>
      </c>
      <c r="B285">
        <v>110</v>
      </c>
      <c r="C285" t="s">
        <v>26</v>
      </c>
      <c r="D285">
        <v>6.2153</v>
      </c>
      <c r="E285">
        <v>16.09</v>
      </c>
      <c r="F285">
        <v>12.97</v>
      </c>
      <c r="G285">
        <v>64.849999999999994</v>
      </c>
      <c r="H285">
        <v>0.8</v>
      </c>
      <c r="I285">
        <v>12</v>
      </c>
      <c r="J285">
        <v>228.69</v>
      </c>
      <c r="K285">
        <v>56.13</v>
      </c>
      <c r="L285">
        <v>10.25</v>
      </c>
      <c r="M285">
        <v>10</v>
      </c>
      <c r="N285">
        <v>52.31</v>
      </c>
      <c r="O285">
        <v>28438.91</v>
      </c>
      <c r="P285">
        <v>155.79</v>
      </c>
      <c r="Q285">
        <v>988.12</v>
      </c>
      <c r="R285">
        <v>44.39</v>
      </c>
      <c r="S285">
        <v>35.43</v>
      </c>
      <c r="T285">
        <v>3445.61</v>
      </c>
      <c r="U285">
        <v>0.8</v>
      </c>
      <c r="V285">
        <v>0.88</v>
      </c>
      <c r="W285">
        <v>2.98</v>
      </c>
      <c r="X285">
        <v>0.22</v>
      </c>
      <c r="Y285">
        <v>1</v>
      </c>
      <c r="Z285">
        <v>10</v>
      </c>
    </row>
    <row r="286" spans="1:26" x14ac:dyDescent="0.3">
      <c r="A286">
        <v>38</v>
      </c>
      <c r="B286">
        <v>110</v>
      </c>
      <c r="C286" t="s">
        <v>26</v>
      </c>
      <c r="D286">
        <v>6.2134999999999998</v>
      </c>
      <c r="E286">
        <v>16.09</v>
      </c>
      <c r="F286">
        <v>12.97</v>
      </c>
      <c r="G286">
        <v>64.87</v>
      </c>
      <c r="H286">
        <v>0.81</v>
      </c>
      <c r="I286">
        <v>12</v>
      </c>
      <c r="J286">
        <v>229.11</v>
      </c>
      <c r="K286">
        <v>56.13</v>
      </c>
      <c r="L286">
        <v>10.5</v>
      </c>
      <c r="M286">
        <v>10</v>
      </c>
      <c r="N286">
        <v>52.48</v>
      </c>
      <c r="O286">
        <v>28491.06</v>
      </c>
      <c r="P286">
        <v>155.33000000000001</v>
      </c>
      <c r="Q286">
        <v>988.13</v>
      </c>
      <c r="R286">
        <v>44.46</v>
      </c>
      <c r="S286">
        <v>35.43</v>
      </c>
      <c r="T286">
        <v>3482.84</v>
      </c>
      <c r="U286">
        <v>0.8</v>
      </c>
      <c r="V286">
        <v>0.88</v>
      </c>
      <c r="W286">
        <v>2.99</v>
      </c>
      <c r="X286">
        <v>0.22</v>
      </c>
      <c r="Y286">
        <v>1</v>
      </c>
      <c r="Z286">
        <v>10</v>
      </c>
    </row>
    <row r="287" spans="1:26" x14ac:dyDescent="0.3">
      <c r="A287">
        <v>39</v>
      </c>
      <c r="B287">
        <v>110</v>
      </c>
      <c r="C287" t="s">
        <v>26</v>
      </c>
      <c r="D287">
        <v>6.2157999999999998</v>
      </c>
      <c r="E287">
        <v>16.09</v>
      </c>
      <c r="F287">
        <v>12.97</v>
      </c>
      <c r="G287">
        <v>64.84</v>
      </c>
      <c r="H287">
        <v>0.83</v>
      </c>
      <c r="I287">
        <v>12</v>
      </c>
      <c r="J287">
        <v>229.53</v>
      </c>
      <c r="K287">
        <v>56.13</v>
      </c>
      <c r="L287">
        <v>10.75</v>
      </c>
      <c r="M287">
        <v>10</v>
      </c>
      <c r="N287">
        <v>52.66</v>
      </c>
      <c r="O287">
        <v>28543.27</v>
      </c>
      <c r="P287">
        <v>154.03</v>
      </c>
      <c r="Q287">
        <v>988.16</v>
      </c>
      <c r="R287">
        <v>44.46</v>
      </c>
      <c r="S287">
        <v>35.43</v>
      </c>
      <c r="T287">
        <v>3482.28</v>
      </c>
      <c r="U287">
        <v>0.8</v>
      </c>
      <c r="V287">
        <v>0.88</v>
      </c>
      <c r="W287">
        <v>2.98</v>
      </c>
      <c r="X287">
        <v>0.21</v>
      </c>
      <c r="Y287">
        <v>1</v>
      </c>
      <c r="Z287">
        <v>10</v>
      </c>
    </row>
    <row r="288" spans="1:26" x14ac:dyDescent="0.3">
      <c r="A288">
        <v>40</v>
      </c>
      <c r="B288">
        <v>110</v>
      </c>
      <c r="C288" t="s">
        <v>26</v>
      </c>
      <c r="D288">
        <v>6.2366000000000001</v>
      </c>
      <c r="E288">
        <v>16.03</v>
      </c>
      <c r="F288">
        <v>12.96</v>
      </c>
      <c r="G288">
        <v>70.680000000000007</v>
      </c>
      <c r="H288">
        <v>0.85</v>
      </c>
      <c r="I288">
        <v>11</v>
      </c>
      <c r="J288">
        <v>229.96</v>
      </c>
      <c r="K288">
        <v>56.13</v>
      </c>
      <c r="L288">
        <v>11</v>
      </c>
      <c r="M288">
        <v>9</v>
      </c>
      <c r="N288">
        <v>52.83</v>
      </c>
      <c r="O288">
        <v>28595.54</v>
      </c>
      <c r="P288">
        <v>152.79</v>
      </c>
      <c r="Q288">
        <v>988.1</v>
      </c>
      <c r="R288">
        <v>43.98</v>
      </c>
      <c r="S288">
        <v>35.43</v>
      </c>
      <c r="T288">
        <v>3247.3</v>
      </c>
      <c r="U288">
        <v>0.81</v>
      </c>
      <c r="V288">
        <v>0.88</v>
      </c>
      <c r="W288">
        <v>2.98</v>
      </c>
      <c r="X288">
        <v>0.2</v>
      </c>
      <c r="Y288">
        <v>1</v>
      </c>
      <c r="Z288">
        <v>10</v>
      </c>
    </row>
    <row r="289" spans="1:26" x14ac:dyDescent="0.3">
      <c r="A289">
        <v>41</v>
      </c>
      <c r="B289">
        <v>110</v>
      </c>
      <c r="C289" t="s">
        <v>26</v>
      </c>
      <c r="D289">
        <v>6.2392000000000003</v>
      </c>
      <c r="E289">
        <v>16.03</v>
      </c>
      <c r="F289">
        <v>12.95</v>
      </c>
      <c r="G289">
        <v>70.64</v>
      </c>
      <c r="H289">
        <v>0.87</v>
      </c>
      <c r="I289">
        <v>11</v>
      </c>
      <c r="J289">
        <v>230.38</v>
      </c>
      <c r="K289">
        <v>56.13</v>
      </c>
      <c r="L289">
        <v>11.25</v>
      </c>
      <c r="M289">
        <v>7</v>
      </c>
      <c r="N289">
        <v>53</v>
      </c>
      <c r="O289">
        <v>28647.87</v>
      </c>
      <c r="P289">
        <v>152.05000000000001</v>
      </c>
      <c r="Q289">
        <v>988.08</v>
      </c>
      <c r="R289">
        <v>43.85</v>
      </c>
      <c r="S289">
        <v>35.43</v>
      </c>
      <c r="T289">
        <v>3183.48</v>
      </c>
      <c r="U289">
        <v>0.81</v>
      </c>
      <c r="V289">
        <v>0.88</v>
      </c>
      <c r="W289">
        <v>2.98</v>
      </c>
      <c r="X289">
        <v>0.2</v>
      </c>
      <c r="Y289">
        <v>1</v>
      </c>
      <c r="Z289">
        <v>10</v>
      </c>
    </row>
    <row r="290" spans="1:26" x14ac:dyDescent="0.3">
      <c r="A290">
        <v>42</v>
      </c>
      <c r="B290">
        <v>110</v>
      </c>
      <c r="C290" t="s">
        <v>26</v>
      </c>
      <c r="D290">
        <v>6.2347000000000001</v>
      </c>
      <c r="E290">
        <v>16.04</v>
      </c>
      <c r="F290">
        <v>12.96</v>
      </c>
      <c r="G290">
        <v>70.7</v>
      </c>
      <c r="H290">
        <v>0.89</v>
      </c>
      <c r="I290">
        <v>11</v>
      </c>
      <c r="J290">
        <v>230.81</v>
      </c>
      <c r="K290">
        <v>56.13</v>
      </c>
      <c r="L290">
        <v>11.5</v>
      </c>
      <c r="M290">
        <v>6</v>
      </c>
      <c r="N290">
        <v>53.18</v>
      </c>
      <c r="O290">
        <v>28700.26</v>
      </c>
      <c r="P290">
        <v>151.9</v>
      </c>
      <c r="Q290">
        <v>988.08</v>
      </c>
      <c r="R290">
        <v>44.12</v>
      </c>
      <c r="S290">
        <v>35.43</v>
      </c>
      <c r="T290">
        <v>3316.64</v>
      </c>
      <c r="U290">
        <v>0.8</v>
      </c>
      <c r="V290">
        <v>0.88</v>
      </c>
      <c r="W290">
        <v>2.99</v>
      </c>
      <c r="X290">
        <v>0.21</v>
      </c>
      <c r="Y290">
        <v>1</v>
      </c>
      <c r="Z290">
        <v>10</v>
      </c>
    </row>
    <row r="291" spans="1:26" x14ac:dyDescent="0.3">
      <c r="A291">
        <v>43</v>
      </c>
      <c r="B291">
        <v>110</v>
      </c>
      <c r="C291" t="s">
        <v>26</v>
      </c>
      <c r="D291">
        <v>6.2370000000000001</v>
      </c>
      <c r="E291">
        <v>16.03</v>
      </c>
      <c r="F291">
        <v>12.96</v>
      </c>
      <c r="G291">
        <v>70.67</v>
      </c>
      <c r="H291">
        <v>0.9</v>
      </c>
      <c r="I291">
        <v>11</v>
      </c>
      <c r="J291">
        <v>231.23</v>
      </c>
      <c r="K291">
        <v>56.13</v>
      </c>
      <c r="L291">
        <v>11.75</v>
      </c>
      <c r="M291">
        <v>4</v>
      </c>
      <c r="N291">
        <v>53.36</v>
      </c>
      <c r="O291">
        <v>28752.71</v>
      </c>
      <c r="P291">
        <v>150.57</v>
      </c>
      <c r="Q291">
        <v>988.08</v>
      </c>
      <c r="R291">
        <v>44.04</v>
      </c>
      <c r="S291">
        <v>35.43</v>
      </c>
      <c r="T291">
        <v>3275.3</v>
      </c>
      <c r="U291">
        <v>0.8</v>
      </c>
      <c r="V291">
        <v>0.88</v>
      </c>
      <c r="W291">
        <v>2.98</v>
      </c>
      <c r="X291">
        <v>0.2</v>
      </c>
      <c r="Y291">
        <v>1</v>
      </c>
      <c r="Z291">
        <v>10</v>
      </c>
    </row>
    <row r="292" spans="1:26" x14ac:dyDescent="0.3">
      <c r="A292">
        <v>44</v>
      </c>
      <c r="B292">
        <v>110</v>
      </c>
      <c r="C292" t="s">
        <v>26</v>
      </c>
      <c r="D292">
        <v>6.2361000000000004</v>
      </c>
      <c r="E292">
        <v>16.04</v>
      </c>
      <c r="F292">
        <v>12.96</v>
      </c>
      <c r="G292">
        <v>70.680000000000007</v>
      </c>
      <c r="H292">
        <v>0.92</v>
      </c>
      <c r="I292">
        <v>11</v>
      </c>
      <c r="J292">
        <v>231.66</v>
      </c>
      <c r="K292">
        <v>56.13</v>
      </c>
      <c r="L292">
        <v>12</v>
      </c>
      <c r="M292">
        <v>2</v>
      </c>
      <c r="N292">
        <v>53.53</v>
      </c>
      <c r="O292">
        <v>28805.23</v>
      </c>
      <c r="P292">
        <v>149.68</v>
      </c>
      <c r="Q292">
        <v>988.1</v>
      </c>
      <c r="R292">
        <v>43.9</v>
      </c>
      <c r="S292">
        <v>35.43</v>
      </c>
      <c r="T292">
        <v>3205.7</v>
      </c>
      <c r="U292">
        <v>0.81</v>
      </c>
      <c r="V292">
        <v>0.88</v>
      </c>
      <c r="W292">
        <v>2.99</v>
      </c>
      <c r="X292">
        <v>0.2</v>
      </c>
      <c r="Y292">
        <v>1</v>
      </c>
      <c r="Z292">
        <v>10</v>
      </c>
    </row>
    <row r="293" spans="1:26" x14ac:dyDescent="0.3">
      <c r="A293">
        <v>45</v>
      </c>
      <c r="B293">
        <v>110</v>
      </c>
      <c r="C293" t="s">
        <v>26</v>
      </c>
      <c r="D293">
        <v>6.2366000000000001</v>
      </c>
      <c r="E293">
        <v>16.03</v>
      </c>
      <c r="F293">
        <v>12.96</v>
      </c>
      <c r="G293">
        <v>70.680000000000007</v>
      </c>
      <c r="H293">
        <v>0.94</v>
      </c>
      <c r="I293">
        <v>11</v>
      </c>
      <c r="J293">
        <v>232.08</v>
      </c>
      <c r="K293">
        <v>56.13</v>
      </c>
      <c r="L293">
        <v>12.25</v>
      </c>
      <c r="M293">
        <v>1</v>
      </c>
      <c r="N293">
        <v>53.71</v>
      </c>
      <c r="O293">
        <v>28857.81</v>
      </c>
      <c r="P293">
        <v>149.75</v>
      </c>
      <c r="Q293">
        <v>988.18</v>
      </c>
      <c r="R293">
        <v>43.81</v>
      </c>
      <c r="S293">
        <v>35.43</v>
      </c>
      <c r="T293">
        <v>3161.72</v>
      </c>
      <c r="U293">
        <v>0.81</v>
      </c>
      <c r="V293">
        <v>0.88</v>
      </c>
      <c r="W293">
        <v>2.99</v>
      </c>
      <c r="X293">
        <v>0.2</v>
      </c>
      <c r="Y293">
        <v>1</v>
      </c>
      <c r="Z293">
        <v>10</v>
      </c>
    </row>
    <row r="294" spans="1:26" x14ac:dyDescent="0.3">
      <c r="A294">
        <v>46</v>
      </c>
      <c r="B294">
        <v>110</v>
      </c>
      <c r="C294" t="s">
        <v>26</v>
      </c>
      <c r="D294">
        <v>6.2382999999999997</v>
      </c>
      <c r="E294">
        <v>16.03</v>
      </c>
      <c r="F294">
        <v>12.95</v>
      </c>
      <c r="G294">
        <v>70.650000000000006</v>
      </c>
      <c r="H294">
        <v>0.96</v>
      </c>
      <c r="I294">
        <v>11</v>
      </c>
      <c r="J294">
        <v>232.51</v>
      </c>
      <c r="K294">
        <v>56.13</v>
      </c>
      <c r="L294">
        <v>12.5</v>
      </c>
      <c r="M294">
        <v>1</v>
      </c>
      <c r="N294">
        <v>53.88</v>
      </c>
      <c r="O294">
        <v>28910.45</v>
      </c>
      <c r="P294">
        <v>149.63</v>
      </c>
      <c r="Q294">
        <v>988.18</v>
      </c>
      <c r="R294">
        <v>43.75</v>
      </c>
      <c r="S294">
        <v>35.43</v>
      </c>
      <c r="T294">
        <v>3133.1</v>
      </c>
      <c r="U294">
        <v>0.81</v>
      </c>
      <c r="V294">
        <v>0.88</v>
      </c>
      <c r="W294">
        <v>2.99</v>
      </c>
      <c r="X294">
        <v>0.2</v>
      </c>
      <c r="Y294">
        <v>1</v>
      </c>
      <c r="Z294">
        <v>10</v>
      </c>
    </row>
    <row r="295" spans="1:26" x14ac:dyDescent="0.3">
      <c r="A295">
        <v>47</v>
      </c>
      <c r="B295">
        <v>110</v>
      </c>
      <c r="C295" t="s">
        <v>26</v>
      </c>
      <c r="D295">
        <v>6.2622999999999998</v>
      </c>
      <c r="E295">
        <v>15.97</v>
      </c>
      <c r="F295">
        <v>12.93</v>
      </c>
      <c r="G295">
        <v>77.599999999999994</v>
      </c>
      <c r="H295">
        <v>0.97</v>
      </c>
      <c r="I295">
        <v>10</v>
      </c>
      <c r="J295">
        <v>232.94</v>
      </c>
      <c r="K295">
        <v>56.13</v>
      </c>
      <c r="L295">
        <v>12.75</v>
      </c>
      <c r="M295">
        <v>0</v>
      </c>
      <c r="N295">
        <v>54.06</v>
      </c>
      <c r="O295">
        <v>28963.15</v>
      </c>
      <c r="P295">
        <v>149.35</v>
      </c>
      <c r="Q295">
        <v>988.18</v>
      </c>
      <c r="R295">
        <v>43.14</v>
      </c>
      <c r="S295">
        <v>35.43</v>
      </c>
      <c r="T295">
        <v>2830.81</v>
      </c>
      <c r="U295">
        <v>0.82</v>
      </c>
      <c r="V295">
        <v>0.88</v>
      </c>
      <c r="W295">
        <v>2.99</v>
      </c>
      <c r="X295">
        <v>0.18</v>
      </c>
      <c r="Y295">
        <v>1</v>
      </c>
      <c r="Z295">
        <v>10</v>
      </c>
    </row>
    <row r="296" spans="1:26" x14ac:dyDescent="0.3">
      <c r="A296">
        <v>0</v>
      </c>
      <c r="B296">
        <v>150</v>
      </c>
      <c r="C296" t="s">
        <v>26</v>
      </c>
      <c r="D296">
        <v>3.0103</v>
      </c>
      <c r="E296">
        <v>33.22</v>
      </c>
      <c r="F296">
        <v>17.5</v>
      </c>
      <c r="G296">
        <v>4.59</v>
      </c>
      <c r="H296">
        <v>0.06</v>
      </c>
      <c r="I296">
        <v>229</v>
      </c>
      <c r="J296">
        <v>296.64999999999998</v>
      </c>
      <c r="K296">
        <v>61.82</v>
      </c>
      <c r="L296">
        <v>1</v>
      </c>
      <c r="M296">
        <v>227</v>
      </c>
      <c r="N296">
        <v>83.83</v>
      </c>
      <c r="O296">
        <v>36821.519999999997</v>
      </c>
      <c r="P296">
        <v>318.45</v>
      </c>
      <c r="Q296">
        <v>988.86</v>
      </c>
      <c r="R296">
        <v>185.38</v>
      </c>
      <c r="S296">
        <v>35.43</v>
      </c>
      <c r="T296">
        <v>72856.98</v>
      </c>
      <c r="U296">
        <v>0.19</v>
      </c>
      <c r="V296">
        <v>0.65</v>
      </c>
      <c r="W296">
        <v>3.35</v>
      </c>
      <c r="X296">
        <v>4.74</v>
      </c>
      <c r="Y296">
        <v>1</v>
      </c>
      <c r="Z296">
        <v>10</v>
      </c>
    </row>
    <row r="297" spans="1:26" x14ac:dyDescent="0.3">
      <c r="A297">
        <v>1</v>
      </c>
      <c r="B297">
        <v>150</v>
      </c>
      <c r="C297" t="s">
        <v>26</v>
      </c>
      <c r="D297">
        <v>3.4897999999999998</v>
      </c>
      <c r="E297">
        <v>28.66</v>
      </c>
      <c r="F297">
        <v>16.21</v>
      </c>
      <c r="G297">
        <v>5.72</v>
      </c>
      <c r="H297">
        <v>7.0000000000000007E-2</v>
      </c>
      <c r="I297">
        <v>170</v>
      </c>
      <c r="J297">
        <v>297.17</v>
      </c>
      <c r="K297">
        <v>61.82</v>
      </c>
      <c r="L297">
        <v>1.25</v>
      </c>
      <c r="M297">
        <v>168</v>
      </c>
      <c r="N297">
        <v>84.1</v>
      </c>
      <c r="O297">
        <v>36885.699999999997</v>
      </c>
      <c r="P297">
        <v>294.43</v>
      </c>
      <c r="Q297">
        <v>988.6</v>
      </c>
      <c r="R297">
        <v>145.63999999999999</v>
      </c>
      <c r="S297">
        <v>35.43</v>
      </c>
      <c r="T297">
        <v>53281.62</v>
      </c>
      <c r="U297">
        <v>0.24</v>
      </c>
      <c r="V297">
        <v>0.7</v>
      </c>
      <c r="W297">
        <v>3.24</v>
      </c>
      <c r="X297">
        <v>3.45</v>
      </c>
      <c r="Y297">
        <v>1</v>
      </c>
      <c r="Z297">
        <v>10</v>
      </c>
    </row>
    <row r="298" spans="1:26" x14ac:dyDescent="0.3">
      <c r="A298">
        <v>2</v>
      </c>
      <c r="B298">
        <v>150</v>
      </c>
      <c r="C298" t="s">
        <v>26</v>
      </c>
      <c r="D298">
        <v>3.851</v>
      </c>
      <c r="E298">
        <v>25.97</v>
      </c>
      <c r="F298">
        <v>15.47</v>
      </c>
      <c r="G298">
        <v>6.88</v>
      </c>
      <c r="H298">
        <v>0.09</v>
      </c>
      <c r="I298">
        <v>135</v>
      </c>
      <c r="J298">
        <v>297.7</v>
      </c>
      <c r="K298">
        <v>61.82</v>
      </c>
      <c r="L298">
        <v>1.5</v>
      </c>
      <c r="M298">
        <v>133</v>
      </c>
      <c r="N298">
        <v>84.37</v>
      </c>
      <c r="O298">
        <v>36949.99</v>
      </c>
      <c r="P298">
        <v>280.38</v>
      </c>
      <c r="Q298">
        <v>988.35</v>
      </c>
      <c r="R298">
        <v>122.22</v>
      </c>
      <c r="S298">
        <v>35.43</v>
      </c>
      <c r="T298">
        <v>41747.49</v>
      </c>
      <c r="U298">
        <v>0.28999999999999998</v>
      </c>
      <c r="V298">
        <v>0.74</v>
      </c>
      <c r="W298">
        <v>3.18</v>
      </c>
      <c r="X298">
        <v>2.71</v>
      </c>
      <c r="Y298">
        <v>1</v>
      </c>
      <c r="Z298">
        <v>10</v>
      </c>
    </row>
    <row r="299" spans="1:26" x14ac:dyDescent="0.3">
      <c r="A299">
        <v>3</v>
      </c>
      <c r="B299">
        <v>150</v>
      </c>
      <c r="C299" t="s">
        <v>26</v>
      </c>
      <c r="D299">
        <v>4.1116999999999999</v>
      </c>
      <c r="E299">
        <v>24.32</v>
      </c>
      <c r="F299">
        <v>15.05</v>
      </c>
      <c r="G299">
        <v>7.99</v>
      </c>
      <c r="H299">
        <v>0.1</v>
      </c>
      <c r="I299">
        <v>113</v>
      </c>
      <c r="J299">
        <v>298.22000000000003</v>
      </c>
      <c r="K299">
        <v>61.82</v>
      </c>
      <c r="L299">
        <v>1.75</v>
      </c>
      <c r="M299">
        <v>111</v>
      </c>
      <c r="N299">
        <v>84.65</v>
      </c>
      <c r="O299">
        <v>37014.39</v>
      </c>
      <c r="P299">
        <v>272.14999999999998</v>
      </c>
      <c r="Q299">
        <v>988.57</v>
      </c>
      <c r="R299">
        <v>108.54</v>
      </c>
      <c r="S299">
        <v>35.43</v>
      </c>
      <c r="T299">
        <v>35018.46</v>
      </c>
      <c r="U299">
        <v>0.33</v>
      </c>
      <c r="V299">
        <v>0.76</v>
      </c>
      <c r="W299">
        <v>3.16</v>
      </c>
      <c r="X299">
        <v>2.29</v>
      </c>
      <c r="Y299">
        <v>1</v>
      </c>
      <c r="Z299">
        <v>10</v>
      </c>
    </row>
    <row r="300" spans="1:26" x14ac:dyDescent="0.3">
      <c r="A300">
        <v>4</v>
      </c>
      <c r="B300">
        <v>150</v>
      </c>
      <c r="C300" t="s">
        <v>26</v>
      </c>
      <c r="D300">
        <v>4.3423999999999996</v>
      </c>
      <c r="E300">
        <v>23.03</v>
      </c>
      <c r="F300">
        <v>14.7</v>
      </c>
      <c r="G300">
        <v>9.19</v>
      </c>
      <c r="H300">
        <v>0.12</v>
      </c>
      <c r="I300">
        <v>96</v>
      </c>
      <c r="J300">
        <v>298.74</v>
      </c>
      <c r="K300">
        <v>61.82</v>
      </c>
      <c r="L300">
        <v>2</v>
      </c>
      <c r="M300">
        <v>94</v>
      </c>
      <c r="N300">
        <v>84.92</v>
      </c>
      <c r="O300">
        <v>37078.910000000003</v>
      </c>
      <c r="P300">
        <v>265.33999999999997</v>
      </c>
      <c r="Q300">
        <v>988.24</v>
      </c>
      <c r="R300">
        <v>98.03</v>
      </c>
      <c r="S300">
        <v>35.43</v>
      </c>
      <c r="T300">
        <v>29848.15</v>
      </c>
      <c r="U300">
        <v>0.36</v>
      </c>
      <c r="V300">
        <v>0.78</v>
      </c>
      <c r="W300">
        <v>3.13</v>
      </c>
      <c r="X300">
        <v>1.94</v>
      </c>
      <c r="Y300">
        <v>1</v>
      </c>
      <c r="Z300">
        <v>10</v>
      </c>
    </row>
    <row r="301" spans="1:26" x14ac:dyDescent="0.3">
      <c r="A301">
        <v>5</v>
      </c>
      <c r="B301">
        <v>150</v>
      </c>
      <c r="C301" t="s">
        <v>26</v>
      </c>
      <c r="D301">
        <v>4.5233999999999996</v>
      </c>
      <c r="E301">
        <v>22.11</v>
      </c>
      <c r="F301">
        <v>14.44</v>
      </c>
      <c r="G301">
        <v>10.32</v>
      </c>
      <c r="H301">
        <v>0.13</v>
      </c>
      <c r="I301">
        <v>84</v>
      </c>
      <c r="J301">
        <v>299.26</v>
      </c>
      <c r="K301">
        <v>61.82</v>
      </c>
      <c r="L301">
        <v>2.25</v>
      </c>
      <c r="M301">
        <v>82</v>
      </c>
      <c r="N301">
        <v>85.19</v>
      </c>
      <c r="O301">
        <v>37143.54</v>
      </c>
      <c r="P301">
        <v>260.14</v>
      </c>
      <c r="Q301">
        <v>988.18</v>
      </c>
      <c r="R301">
        <v>90.1</v>
      </c>
      <c r="S301">
        <v>35.43</v>
      </c>
      <c r="T301">
        <v>25941.200000000001</v>
      </c>
      <c r="U301">
        <v>0.39</v>
      </c>
      <c r="V301">
        <v>0.79</v>
      </c>
      <c r="W301">
        <v>3.11</v>
      </c>
      <c r="X301">
        <v>1.69</v>
      </c>
      <c r="Y301">
        <v>1</v>
      </c>
      <c r="Z301">
        <v>10</v>
      </c>
    </row>
    <row r="302" spans="1:26" x14ac:dyDescent="0.3">
      <c r="A302">
        <v>6</v>
      </c>
      <c r="B302">
        <v>150</v>
      </c>
      <c r="C302" t="s">
        <v>26</v>
      </c>
      <c r="D302">
        <v>4.6748000000000003</v>
      </c>
      <c r="E302">
        <v>21.39</v>
      </c>
      <c r="F302">
        <v>14.23</v>
      </c>
      <c r="G302">
        <v>11.38</v>
      </c>
      <c r="H302">
        <v>0.15</v>
      </c>
      <c r="I302">
        <v>75</v>
      </c>
      <c r="J302">
        <v>299.79000000000002</v>
      </c>
      <c r="K302">
        <v>61.82</v>
      </c>
      <c r="L302">
        <v>2.5</v>
      </c>
      <c r="M302">
        <v>73</v>
      </c>
      <c r="N302">
        <v>85.47</v>
      </c>
      <c r="O302">
        <v>37208.42</v>
      </c>
      <c r="P302">
        <v>255.68</v>
      </c>
      <c r="Q302">
        <v>988.29</v>
      </c>
      <c r="R302">
        <v>83.58</v>
      </c>
      <c r="S302">
        <v>35.43</v>
      </c>
      <c r="T302">
        <v>22726.080000000002</v>
      </c>
      <c r="U302">
        <v>0.42</v>
      </c>
      <c r="V302">
        <v>0.8</v>
      </c>
      <c r="W302">
        <v>3.08</v>
      </c>
      <c r="X302">
        <v>1.47</v>
      </c>
      <c r="Y302">
        <v>1</v>
      </c>
      <c r="Z302">
        <v>10</v>
      </c>
    </row>
    <row r="303" spans="1:26" x14ac:dyDescent="0.3">
      <c r="A303">
        <v>7</v>
      </c>
      <c r="B303">
        <v>150</v>
      </c>
      <c r="C303" t="s">
        <v>26</v>
      </c>
      <c r="D303">
        <v>4.8038999999999996</v>
      </c>
      <c r="E303">
        <v>20.82</v>
      </c>
      <c r="F303">
        <v>14.1</v>
      </c>
      <c r="G303">
        <v>12.62</v>
      </c>
      <c r="H303">
        <v>0.16</v>
      </c>
      <c r="I303">
        <v>67</v>
      </c>
      <c r="J303">
        <v>300.32</v>
      </c>
      <c r="K303">
        <v>61.82</v>
      </c>
      <c r="L303">
        <v>2.75</v>
      </c>
      <c r="M303">
        <v>65</v>
      </c>
      <c r="N303">
        <v>85.74</v>
      </c>
      <c r="O303">
        <v>37273.29</v>
      </c>
      <c r="P303">
        <v>252.81</v>
      </c>
      <c r="Q303">
        <v>988.45</v>
      </c>
      <c r="R303">
        <v>79.61</v>
      </c>
      <c r="S303">
        <v>35.43</v>
      </c>
      <c r="T303">
        <v>20783.2</v>
      </c>
      <c r="U303">
        <v>0.45</v>
      </c>
      <c r="V303">
        <v>0.81</v>
      </c>
      <c r="W303">
        <v>3.07</v>
      </c>
      <c r="X303">
        <v>1.34</v>
      </c>
      <c r="Y303">
        <v>1</v>
      </c>
      <c r="Z303">
        <v>10</v>
      </c>
    </row>
    <row r="304" spans="1:26" x14ac:dyDescent="0.3">
      <c r="A304">
        <v>8</v>
      </c>
      <c r="B304">
        <v>150</v>
      </c>
      <c r="C304" t="s">
        <v>26</v>
      </c>
      <c r="D304">
        <v>4.9067999999999996</v>
      </c>
      <c r="E304">
        <v>20.38</v>
      </c>
      <c r="F304">
        <v>13.99</v>
      </c>
      <c r="G304">
        <v>13.76</v>
      </c>
      <c r="H304">
        <v>0.18</v>
      </c>
      <c r="I304">
        <v>61</v>
      </c>
      <c r="J304">
        <v>300.83999999999997</v>
      </c>
      <c r="K304">
        <v>61.82</v>
      </c>
      <c r="L304">
        <v>3</v>
      </c>
      <c r="M304">
        <v>59</v>
      </c>
      <c r="N304">
        <v>86.02</v>
      </c>
      <c r="O304">
        <v>37338.269999999997</v>
      </c>
      <c r="P304">
        <v>250.58</v>
      </c>
      <c r="Q304">
        <v>988.27</v>
      </c>
      <c r="R304">
        <v>75.98</v>
      </c>
      <c r="S304">
        <v>35.43</v>
      </c>
      <c r="T304">
        <v>18998.05</v>
      </c>
      <c r="U304">
        <v>0.47</v>
      </c>
      <c r="V304">
        <v>0.81</v>
      </c>
      <c r="W304">
        <v>3.07</v>
      </c>
      <c r="X304">
        <v>1.24</v>
      </c>
      <c r="Y304">
        <v>1</v>
      </c>
      <c r="Z304">
        <v>10</v>
      </c>
    </row>
    <row r="305" spans="1:26" x14ac:dyDescent="0.3">
      <c r="A305">
        <v>9</v>
      </c>
      <c r="B305">
        <v>150</v>
      </c>
      <c r="C305" t="s">
        <v>26</v>
      </c>
      <c r="D305">
        <v>5.0067000000000004</v>
      </c>
      <c r="E305">
        <v>19.97</v>
      </c>
      <c r="F305">
        <v>13.87</v>
      </c>
      <c r="G305">
        <v>14.86</v>
      </c>
      <c r="H305">
        <v>0.19</v>
      </c>
      <c r="I305">
        <v>56</v>
      </c>
      <c r="J305">
        <v>301.37</v>
      </c>
      <c r="K305">
        <v>61.82</v>
      </c>
      <c r="L305">
        <v>3.25</v>
      </c>
      <c r="M305">
        <v>54</v>
      </c>
      <c r="N305">
        <v>86.3</v>
      </c>
      <c r="O305">
        <v>37403.379999999997</v>
      </c>
      <c r="P305">
        <v>247.59</v>
      </c>
      <c r="Q305">
        <v>988.12</v>
      </c>
      <c r="R305">
        <v>72.23</v>
      </c>
      <c r="S305">
        <v>35.43</v>
      </c>
      <c r="T305">
        <v>17147.240000000002</v>
      </c>
      <c r="U305">
        <v>0.49</v>
      </c>
      <c r="V305">
        <v>0.82</v>
      </c>
      <c r="W305">
        <v>3.06</v>
      </c>
      <c r="X305">
        <v>1.1100000000000001</v>
      </c>
      <c r="Y305">
        <v>1</v>
      </c>
      <c r="Z305">
        <v>10</v>
      </c>
    </row>
    <row r="306" spans="1:26" x14ac:dyDescent="0.3">
      <c r="A306">
        <v>10</v>
      </c>
      <c r="B306">
        <v>150</v>
      </c>
      <c r="C306" t="s">
        <v>26</v>
      </c>
      <c r="D306">
        <v>5.0861999999999998</v>
      </c>
      <c r="E306">
        <v>19.66</v>
      </c>
      <c r="F306">
        <v>13.78</v>
      </c>
      <c r="G306">
        <v>15.89</v>
      </c>
      <c r="H306">
        <v>0.21</v>
      </c>
      <c r="I306">
        <v>52</v>
      </c>
      <c r="J306">
        <v>301.89999999999998</v>
      </c>
      <c r="K306">
        <v>61.82</v>
      </c>
      <c r="L306">
        <v>3.5</v>
      </c>
      <c r="M306">
        <v>50</v>
      </c>
      <c r="N306">
        <v>86.58</v>
      </c>
      <c r="O306">
        <v>37468.6</v>
      </c>
      <c r="P306">
        <v>245.37</v>
      </c>
      <c r="Q306">
        <v>988.31</v>
      </c>
      <c r="R306">
        <v>69.27</v>
      </c>
      <c r="S306">
        <v>35.43</v>
      </c>
      <c r="T306">
        <v>15685.23</v>
      </c>
      <c r="U306">
        <v>0.51</v>
      </c>
      <c r="V306">
        <v>0.83</v>
      </c>
      <c r="W306">
        <v>3.05</v>
      </c>
      <c r="X306">
        <v>1.02</v>
      </c>
      <c r="Y306">
        <v>1</v>
      </c>
      <c r="Z306">
        <v>10</v>
      </c>
    </row>
    <row r="307" spans="1:26" x14ac:dyDescent="0.3">
      <c r="A307">
        <v>11</v>
      </c>
      <c r="B307">
        <v>150</v>
      </c>
      <c r="C307" t="s">
        <v>26</v>
      </c>
      <c r="D307">
        <v>5.1643999999999997</v>
      </c>
      <c r="E307">
        <v>19.36</v>
      </c>
      <c r="F307">
        <v>13.7</v>
      </c>
      <c r="G307">
        <v>17.12</v>
      </c>
      <c r="H307">
        <v>0.22</v>
      </c>
      <c r="I307">
        <v>48</v>
      </c>
      <c r="J307">
        <v>302.43</v>
      </c>
      <c r="K307">
        <v>61.82</v>
      </c>
      <c r="L307">
        <v>3.75</v>
      </c>
      <c r="M307">
        <v>46</v>
      </c>
      <c r="N307">
        <v>86.86</v>
      </c>
      <c r="O307">
        <v>37533.94</v>
      </c>
      <c r="P307">
        <v>243.59</v>
      </c>
      <c r="Q307">
        <v>988.12</v>
      </c>
      <c r="R307">
        <v>67.14</v>
      </c>
      <c r="S307">
        <v>35.43</v>
      </c>
      <c r="T307">
        <v>14639.79</v>
      </c>
      <c r="U307">
        <v>0.53</v>
      </c>
      <c r="V307">
        <v>0.83</v>
      </c>
      <c r="W307">
        <v>3.04</v>
      </c>
      <c r="X307">
        <v>0.94</v>
      </c>
      <c r="Y307">
        <v>1</v>
      </c>
      <c r="Z307">
        <v>10</v>
      </c>
    </row>
    <row r="308" spans="1:26" x14ac:dyDescent="0.3">
      <c r="A308">
        <v>12</v>
      </c>
      <c r="B308">
        <v>150</v>
      </c>
      <c r="C308" t="s">
        <v>26</v>
      </c>
      <c r="D308">
        <v>5.2270000000000003</v>
      </c>
      <c r="E308">
        <v>19.13</v>
      </c>
      <c r="F308">
        <v>13.63</v>
      </c>
      <c r="G308">
        <v>18.18</v>
      </c>
      <c r="H308">
        <v>0.24</v>
      </c>
      <c r="I308">
        <v>45</v>
      </c>
      <c r="J308">
        <v>302.95999999999998</v>
      </c>
      <c r="K308">
        <v>61.82</v>
      </c>
      <c r="L308">
        <v>4</v>
      </c>
      <c r="M308">
        <v>43</v>
      </c>
      <c r="N308">
        <v>87.14</v>
      </c>
      <c r="O308">
        <v>37599.4</v>
      </c>
      <c r="P308">
        <v>241.94</v>
      </c>
      <c r="Q308">
        <v>988.18</v>
      </c>
      <c r="R308">
        <v>65.099999999999994</v>
      </c>
      <c r="S308">
        <v>35.43</v>
      </c>
      <c r="T308">
        <v>13636.42</v>
      </c>
      <c r="U308">
        <v>0.54</v>
      </c>
      <c r="V308">
        <v>0.84</v>
      </c>
      <c r="W308">
        <v>3.04</v>
      </c>
      <c r="X308">
        <v>0.88</v>
      </c>
      <c r="Y308">
        <v>1</v>
      </c>
      <c r="Z308">
        <v>10</v>
      </c>
    </row>
    <row r="309" spans="1:26" x14ac:dyDescent="0.3">
      <c r="A309">
        <v>13</v>
      </c>
      <c r="B309">
        <v>150</v>
      </c>
      <c r="C309" t="s">
        <v>26</v>
      </c>
      <c r="D309">
        <v>5.2887000000000004</v>
      </c>
      <c r="E309">
        <v>18.91</v>
      </c>
      <c r="F309">
        <v>13.58</v>
      </c>
      <c r="G309">
        <v>19.399999999999999</v>
      </c>
      <c r="H309">
        <v>0.25</v>
      </c>
      <c r="I309">
        <v>42</v>
      </c>
      <c r="J309">
        <v>303.49</v>
      </c>
      <c r="K309">
        <v>61.82</v>
      </c>
      <c r="L309">
        <v>4.25</v>
      </c>
      <c r="M309">
        <v>40</v>
      </c>
      <c r="N309">
        <v>87.42</v>
      </c>
      <c r="O309">
        <v>37664.980000000003</v>
      </c>
      <c r="P309">
        <v>240.5</v>
      </c>
      <c r="Q309">
        <v>988.21</v>
      </c>
      <c r="R309">
        <v>63.37</v>
      </c>
      <c r="S309">
        <v>35.43</v>
      </c>
      <c r="T309">
        <v>12786.63</v>
      </c>
      <c r="U309">
        <v>0.56000000000000005</v>
      </c>
      <c r="V309">
        <v>0.84</v>
      </c>
      <c r="W309">
        <v>3.03</v>
      </c>
      <c r="X309">
        <v>0.82</v>
      </c>
      <c r="Y309">
        <v>1</v>
      </c>
      <c r="Z309">
        <v>10</v>
      </c>
    </row>
    <row r="310" spans="1:26" x14ac:dyDescent="0.3">
      <c r="A310">
        <v>14</v>
      </c>
      <c r="B310">
        <v>150</v>
      </c>
      <c r="C310" t="s">
        <v>26</v>
      </c>
      <c r="D310">
        <v>5.3483000000000001</v>
      </c>
      <c r="E310">
        <v>18.7</v>
      </c>
      <c r="F310">
        <v>13.53</v>
      </c>
      <c r="G310">
        <v>20.82</v>
      </c>
      <c r="H310">
        <v>0.26</v>
      </c>
      <c r="I310">
        <v>39</v>
      </c>
      <c r="J310">
        <v>304.02999999999997</v>
      </c>
      <c r="K310">
        <v>61.82</v>
      </c>
      <c r="L310">
        <v>4.5</v>
      </c>
      <c r="M310">
        <v>37</v>
      </c>
      <c r="N310">
        <v>87.7</v>
      </c>
      <c r="O310">
        <v>37730.68</v>
      </c>
      <c r="P310">
        <v>239.11</v>
      </c>
      <c r="Q310">
        <v>988.3</v>
      </c>
      <c r="R310">
        <v>61.9</v>
      </c>
      <c r="S310">
        <v>35.43</v>
      </c>
      <c r="T310">
        <v>12064.86</v>
      </c>
      <c r="U310">
        <v>0.56999999999999995</v>
      </c>
      <c r="V310">
        <v>0.84</v>
      </c>
      <c r="W310">
        <v>3.03</v>
      </c>
      <c r="X310">
        <v>0.78</v>
      </c>
      <c r="Y310">
        <v>1</v>
      </c>
      <c r="Z310">
        <v>10</v>
      </c>
    </row>
    <row r="311" spans="1:26" x14ac:dyDescent="0.3">
      <c r="A311">
        <v>15</v>
      </c>
      <c r="B311">
        <v>150</v>
      </c>
      <c r="C311" t="s">
        <v>26</v>
      </c>
      <c r="D311">
        <v>5.3962000000000003</v>
      </c>
      <c r="E311">
        <v>18.53</v>
      </c>
      <c r="F311">
        <v>13.48</v>
      </c>
      <c r="G311">
        <v>21.86</v>
      </c>
      <c r="H311">
        <v>0.28000000000000003</v>
      </c>
      <c r="I311">
        <v>37</v>
      </c>
      <c r="J311">
        <v>304.56</v>
      </c>
      <c r="K311">
        <v>61.82</v>
      </c>
      <c r="L311">
        <v>4.75</v>
      </c>
      <c r="M311">
        <v>35</v>
      </c>
      <c r="N311">
        <v>87.99</v>
      </c>
      <c r="O311">
        <v>37796.51</v>
      </c>
      <c r="P311">
        <v>237.69</v>
      </c>
      <c r="Q311">
        <v>988.28</v>
      </c>
      <c r="R311">
        <v>60.16</v>
      </c>
      <c r="S311">
        <v>35.43</v>
      </c>
      <c r="T311">
        <v>11206.48</v>
      </c>
      <c r="U311">
        <v>0.59</v>
      </c>
      <c r="V311">
        <v>0.85</v>
      </c>
      <c r="W311">
        <v>3.03</v>
      </c>
      <c r="X311">
        <v>0.72</v>
      </c>
      <c r="Y311">
        <v>1</v>
      </c>
      <c r="Z311">
        <v>10</v>
      </c>
    </row>
    <row r="312" spans="1:26" x14ac:dyDescent="0.3">
      <c r="A312">
        <v>16</v>
      </c>
      <c r="B312">
        <v>150</v>
      </c>
      <c r="C312" t="s">
        <v>26</v>
      </c>
      <c r="D312">
        <v>5.4409000000000001</v>
      </c>
      <c r="E312">
        <v>18.38</v>
      </c>
      <c r="F312">
        <v>13.44</v>
      </c>
      <c r="G312">
        <v>23.04</v>
      </c>
      <c r="H312">
        <v>0.28999999999999998</v>
      </c>
      <c r="I312">
        <v>35</v>
      </c>
      <c r="J312">
        <v>305.08999999999997</v>
      </c>
      <c r="K312">
        <v>61.82</v>
      </c>
      <c r="L312">
        <v>5</v>
      </c>
      <c r="M312">
        <v>33</v>
      </c>
      <c r="N312">
        <v>88.27</v>
      </c>
      <c r="O312">
        <v>37862.449999999997</v>
      </c>
      <c r="P312">
        <v>236.6</v>
      </c>
      <c r="Q312">
        <v>988.3</v>
      </c>
      <c r="R312">
        <v>58.73</v>
      </c>
      <c r="S312">
        <v>35.43</v>
      </c>
      <c r="T312">
        <v>10501.95</v>
      </c>
      <c r="U312">
        <v>0.6</v>
      </c>
      <c r="V312">
        <v>0.85</v>
      </c>
      <c r="W312">
        <v>3.03</v>
      </c>
      <c r="X312">
        <v>0.68</v>
      </c>
      <c r="Y312">
        <v>1</v>
      </c>
      <c r="Z312">
        <v>10</v>
      </c>
    </row>
    <row r="313" spans="1:26" x14ac:dyDescent="0.3">
      <c r="A313">
        <v>17</v>
      </c>
      <c r="B313">
        <v>150</v>
      </c>
      <c r="C313" t="s">
        <v>26</v>
      </c>
      <c r="D313">
        <v>5.4885999999999999</v>
      </c>
      <c r="E313">
        <v>18.22</v>
      </c>
      <c r="F313">
        <v>13.39</v>
      </c>
      <c r="G313">
        <v>24.34</v>
      </c>
      <c r="H313">
        <v>0.31</v>
      </c>
      <c r="I313">
        <v>33</v>
      </c>
      <c r="J313">
        <v>305.63</v>
      </c>
      <c r="K313">
        <v>61.82</v>
      </c>
      <c r="L313">
        <v>5.25</v>
      </c>
      <c r="M313">
        <v>31</v>
      </c>
      <c r="N313">
        <v>88.56</v>
      </c>
      <c r="O313">
        <v>37928.519999999997</v>
      </c>
      <c r="P313">
        <v>234.75</v>
      </c>
      <c r="Q313">
        <v>988.23</v>
      </c>
      <c r="R313">
        <v>57.41</v>
      </c>
      <c r="S313">
        <v>35.43</v>
      </c>
      <c r="T313">
        <v>9850.64</v>
      </c>
      <c r="U313">
        <v>0.62</v>
      </c>
      <c r="V313">
        <v>0.85</v>
      </c>
      <c r="W313">
        <v>3.02</v>
      </c>
      <c r="X313">
        <v>0.63</v>
      </c>
      <c r="Y313">
        <v>1</v>
      </c>
      <c r="Z313">
        <v>10</v>
      </c>
    </row>
    <row r="314" spans="1:26" x14ac:dyDescent="0.3">
      <c r="A314">
        <v>18</v>
      </c>
      <c r="B314">
        <v>150</v>
      </c>
      <c r="C314" t="s">
        <v>26</v>
      </c>
      <c r="D314">
        <v>5.5021000000000004</v>
      </c>
      <c r="E314">
        <v>18.170000000000002</v>
      </c>
      <c r="F314">
        <v>13.4</v>
      </c>
      <c r="G314">
        <v>25.12</v>
      </c>
      <c r="H314">
        <v>0.32</v>
      </c>
      <c r="I314">
        <v>32</v>
      </c>
      <c r="J314">
        <v>306.17</v>
      </c>
      <c r="K314">
        <v>61.82</v>
      </c>
      <c r="L314">
        <v>5.5</v>
      </c>
      <c r="M314">
        <v>30</v>
      </c>
      <c r="N314">
        <v>88.84</v>
      </c>
      <c r="O314">
        <v>37994.720000000001</v>
      </c>
      <c r="P314">
        <v>234.56</v>
      </c>
      <c r="Q314">
        <v>988.19</v>
      </c>
      <c r="R314">
        <v>57.56</v>
      </c>
      <c r="S314">
        <v>35.43</v>
      </c>
      <c r="T314">
        <v>9932.7000000000007</v>
      </c>
      <c r="U314">
        <v>0.62</v>
      </c>
      <c r="V314">
        <v>0.85</v>
      </c>
      <c r="W314">
        <v>3.03</v>
      </c>
      <c r="X314">
        <v>0.65</v>
      </c>
      <c r="Y314">
        <v>1</v>
      </c>
      <c r="Z314">
        <v>10</v>
      </c>
    </row>
    <row r="315" spans="1:26" x14ac:dyDescent="0.3">
      <c r="A315">
        <v>19</v>
      </c>
      <c r="B315">
        <v>150</v>
      </c>
      <c r="C315" t="s">
        <v>26</v>
      </c>
      <c r="D315">
        <v>5.5568</v>
      </c>
      <c r="E315">
        <v>18</v>
      </c>
      <c r="F315">
        <v>13.33</v>
      </c>
      <c r="G315">
        <v>26.66</v>
      </c>
      <c r="H315">
        <v>0.33</v>
      </c>
      <c r="I315">
        <v>30</v>
      </c>
      <c r="J315">
        <v>306.7</v>
      </c>
      <c r="K315">
        <v>61.82</v>
      </c>
      <c r="L315">
        <v>5.75</v>
      </c>
      <c r="M315">
        <v>28</v>
      </c>
      <c r="N315">
        <v>89.13</v>
      </c>
      <c r="O315">
        <v>38061.040000000001</v>
      </c>
      <c r="P315">
        <v>232.83</v>
      </c>
      <c r="Q315">
        <v>988.14</v>
      </c>
      <c r="R315">
        <v>55.8</v>
      </c>
      <c r="S315">
        <v>35.43</v>
      </c>
      <c r="T315">
        <v>9062.99</v>
      </c>
      <c r="U315">
        <v>0.63</v>
      </c>
      <c r="V315">
        <v>0.85</v>
      </c>
      <c r="W315">
        <v>3.01</v>
      </c>
      <c r="X315">
        <v>0.57999999999999996</v>
      </c>
      <c r="Y315">
        <v>1</v>
      </c>
      <c r="Z315">
        <v>10</v>
      </c>
    </row>
    <row r="316" spans="1:26" x14ac:dyDescent="0.3">
      <c r="A316">
        <v>20</v>
      </c>
      <c r="B316">
        <v>150</v>
      </c>
      <c r="C316" t="s">
        <v>26</v>
      </c>
      <c r="D316">
        <v>5.5807000000000002</v>
      </c>
      <c r="E316">
        <v>17.920000000000002</v>
      </c>
      <c r="F316">
        <v>13.31</v>
      </c>
      <c r="G316">
        <v>27.54</v>
      </c>
      <c r="H316">
        <v>0.35</v>
      </c>
      <c r="I316">
        <v>29</v>
      </c>
      <c r="J316">
        <v>307.24</v>
      </c>
      <c r="K316">
        <v>61.82</v>
      </c>
      <c r="L316">
        <v>6</v>
      </c>
      <c r="M316">
        <v>27</v>
      </c>
      <c r="N316">
        <v>89.42</v>
      </c>
      <c r="O316">
        <v>38127.480000000003</v>
      </c>
      <c r="P316">
        <v>232.06</v>
      </c>
      <c r="Q316">
        <v>988.29</v>
      </c>
      <c r="R316">
        <v>55.18</v>
      </c>
      <c r="S316">
        <v>35.43</v>
      </c>
      <c r="T316">
        <v>8756.1</v>
      </c>
      <c r="U316">
        <v>0.64</v>
      </c>
      <c r="V316">
        <v>0.86</v>
      </c>
      <c r="W316">
        <v>3.01</v>
      </c>
      <c r="X316">
        <v>0.56000000000000005</v>
      </c>
      <c r="Y316">
        <v>1</v>
      </c>
      <c r="Z316">
        <v>10</v>
      </c>
    </row>
    <row r="317" spans="1:26" x14ac:dyDescent="0.3">
      <c r="A317">
        <v>21</v>
      </c>
      <c r="B317">
        <v>150</v>
      </c>
      <c r="C317" t="s">
        <v>26</v>
      </c>
      <c r="D317">
        <v>5.6032999999999999</v>
      </c>
      <c r="E317">
        <v>17.850000000000001</v>
      </c>
      <c r="F317">
        <v>13.29</v>
      </c>
      <c r="G317">
        <v>28.49</v>
      </c>
      <c r="H317">
        <v>0.36</v>
      </c>
      <c r="I317">
        <v>28</v>
      </c>
      <c r="J317">
        <v>307.77999999999997</v>
      </c>
      <c r="K317">
        <v>61.82</v>
      </c>
      <c r="L317">
        <v>6.25</v>
      </c>
      <c r="M317">
        <v>26</v>
      </c>
      <c r="N317">
        <v>89.71</v>
      </c>
      <c r="O317">
        <v>38194.050000000003</v>
      </c>
      <c r="P317">
        <v>231.21</v>
      </c>
      <c r="Q317">
        <v>988.15</v>
      </c>
      <c r="R317">
        <v>54.65</v>
      </c>
      <c r="S317">
        <v>35.43</v>
      </c>
      <c r="T317">
        <v>8494.2099999999991</v>
      </c>
      <c r="U317">
        <v>0.65</v>
      </c>
      <c r="V317">
        <v>0.86</v>
      </c>
      <c r="W317">
        <v>3.01</v>
      </c>
      <c r="X317">
        <v>0.54</v>
      </c>
      <c r="Y317">
        <v>1</v>
      </c>
      <c r="Z317">
        <v>10</v>
      </c>
    </row>
    <row r="318" spans="1:26" x14ac:dyDescent="0.3">
      <c r="A318">
        <v>22</v>
      </c>
      <c r="B318">
        <v>150</v>
      </c>
      <c r="C318" t="s">
        <v>26</v>
      </c>
      <c r="D318">
        <v>5.6289999999999996</v>
      </c>
      <c r="E318">
        <v>17.77</v>
      </c>
      <c r="F318">
        <v>13.27</v>
      </c>
      <c r="G318">
        <v>29.48</v>
      </c>
      <c r="H318">
        <v>0.38</v>
      </c>
      <c r="I318">
        <v>27</v>
      </c>
      <c r="J318">
        <v>308.32</v>
      </c>
      <c r="K318">
        <v>61.82</v>
      </c>
      <c r="L318">
        <v>6.5</v>
      </c>
      <c r="M318">
        <v>25</v>
      </c>
      <c r="N318">
        <v>90</v>
      </c>
      <c r="O318">
        <v>38260.74</v>
      </c>
      <c r="P318">
        <v>230.34</v>
      </c>
      <c r="Q318">
        <v>988.09</v>
      </c>
      <c r="R318">
        <v>53.81</v>
      </c>
      <c r="S318">
        <v>35.43</v>
      </c>
      <c r="T318">
        <v>8082.68</v>
      </c>
      <c r="U318">
        <v>0.66</v>
      </c>
      <c r="V318">
        <v>0.86</v>
      </c>
      <c r="W318">
        <v>3.01</v>
      </c>
      <c r="X318">
        <v>0.51</v>
      </c>
      <c r="Y318">
        <v>1</v>
      </c>
      <c r="Z318">
        <v>10</v>
      </c>
    </row>
    <row r="319" spans="1:26" x14ac:dyDescent="0.3">
      <c r="A319">
        <v>23</v>
      </c>
      <c r="B319">
        <v>150</v>
      </c>
      <c r="C319" t="s">
        <v>26</v>
      </c>
      <c r="D319">
        <v>5.6501000000000001</v>
      </c>
      <c r="E319">
        <v>17.7</v>
      </c>
      <c r="F319">
        <v>13.26</v>
      </c>
      <c r="G319">
        <v>30.59</v>
      </c>
      <c r="H319">
        <v>0.39</v>
      </c>
      <c r="I319">
        <v>26</v>
      </c>
      <c r="J319">
        <v>308.86</v>
      </c>
      <c r="K319">
        <v>61.82</v>
      </c>
      <c r="L319">
        <v>6.75</v>
      </c>
      <c r="M319">
        <v>24</v>
      </c>
      <c r="N319">
        <v>90.29</v>
      </c>
      <c r="O319">
        <v>38327.57</v>
      </c>
      <c r="P319">
        <v>229.59</v>
      </c>
      <c r="Q319">
        <v>988.23</v>
      </c>
      <c r="R319">
        <v>53.26</v>
      </c>
      <c r="S319">
        <v>35.43</v>
      </c>
      <c r="T319">
        <v>7812.94</v>
      </c>
      <c r="U319">
        <v>0.67</v>
      </c>
      <c r="V319">
        <v>0.86</v>
      </c>
      <c r="W319">
        <v>3.01</v>
      </c>
      <c r="X319">
        <v>0.5</v>
      </c>
      <c r="Y319">
        <v>1</v>
      </c>
      <c r="Z319">
        <v>10</v>
      </c>
    </row>
    <row r="320" spans="1:26" x14ac:dyDescent="0.3">
      <c r="A320">
        <v>24</v>
      </c>
      <c r="B320">
        <v>150</v>
      </c>
      <c r="C320" t="s">
        <v>26</v>
      </c>
      <c r="D320">
        <v>5.6768000000000001</v>
      </c>
      <c r="E320">
        <v>17.62</v>
      </c>
      <c r="F320">
        <v>13.23</v>
      </c>
      <c r="G320">
        <v>31.75</v>
      </c>
      <c r="H320">
        <v>0.4</v>
      </c>
      <c r="I320">
        <v>25</v>
      </c>
      <c r="J320">
        <v>309.41000000000003</v>
      </c>
      <c r="K320">
        <v>61.82</v>
      </c>
      <c r="L320">
        <v>7</v>
      </c>
      <c r="M320">
        <v>23</v>
      </c>
      <c r="N320">
        <v>90.59</v>
      </c>
      <c r="O320">
        <v>38394.519999999997</v>
      </c>
      <c r="P320">
        <v>228.61</v>
      </c>
      <c r="Q320">
        <v>988.15</v>
      </c>
      <c r="R320">
        <v>52.65</v>
      </c>
      <c r="S320">
        <v>35.43</v>
      </c>
      <c r="T320">
        <v>7511.52</v>
      </c>
      <c r="U320">
        <v>0.67</v>
      </c>
      <c r="V320">
        <v>0.86</v>
      </c>
      <c r="W320">
        <v>3</v>
      </c>
      <c r="X320">
        <v>0.47</v>
      </c>
      <c r="Y320">
        <v>1</v>
      </c>
      <c r="Z320">
        <v>10</v>
      </c>
    </row>
    <row r="321" spans="1:26" x14ac:dyDescent="0.3">
      <c r="A321">
        <v>25</v>
      </c>
      <c r="B321">
        <v>150</v>
      </c>
      <c r="C321" t="s">
        <v>26</v>
      </c>
      <c r="D321">
        <v>5.7035999999999998</v>
      </c>
      <c r="E321">
        <v>17.53</v>
      </c>
      <c r="F321">
        <v>13.2</v>
      </c>
      <c r="G321">
        <v>33.01</v>
      </c>
      <c r="H321">
        <v>0.42</v>
      </c>
      <c r="I321">
        <v>24</v>
      </c>
      <c r="J321">
        <v>309.95</v>
      </c>
      <c r="K321">
        <v>61.82</v>
      </c>
      <c r="L321">
        <v>7.25</v>
      </c>
      <c r="M321">
        <v>22</v>
      </c>
      <c r="N321">
        <v>90.88</v>
      </c>
      <c r="O321">
        <v>38461.599999999999</v>
      </c>
      <c r="P321">
        <v>227.49</v>
      </c>
      <c r="Q321">
        <v>988.15</v>
      </c>
      <c r="R321">
        <v>51.57</v>
      </c>
      <c r="S321">
        <v>35.43</v>
      </c>
      <c r="T321">
        <v>6976.16</v>
      </c>
      <c r="U321">
        <v>0.69</v>
      </c>
      <c r="V321">
        <v>0.86</v>
      </c>
      <c r="W321">
        <v>3</v>
      </c>
      <c r="X321">
        <v>0.45</v>
      </c>
      <c r="Y321">
        <v>1</v>
      </c>
      <c r="Z321">
        <v>10</v>
      </c>
    </row>
    <row r="322" spans="1:26" x14ac:dyDescent="0.3">
      <c r="A322">
        <v>26</v>
      </c>
      <c r="B322">
        <v>150</v>
      </c>
      <c r="C322" t="s">
        <v>26</v>
      </c>
      <c r="D322">
        <v>5.7224000000000004</v>
      </c>
      <c r="E322">
        <v>17.48</v>
      </c>
      <c r="F322">
        <v>13.2</v>
      </c>
      <c r="G322">
        <v>34.44</v>
      </c>
      <c r="H322">
        <v>0.43</v>
      </c>
      <c r="I322">
        <v>23</v>
      </c>
      <c r="J322">
        <v>310.5</v>
      </c>
      <c r="K322">
        <v>61.82</v>
      </c>
      <c r="L322">
        <v>7.5</v>
      </c>
      <c r="M322">
        <v>21</v>
      </c>
      <c r="N322">
        <v>91.18</v>
      </c>
      <c r="O322">
        <v>38528.81</v>
      </c>
      <c r="P322">
        <v>226.91</v>
      </c>
      <c r="Q322">
        <v>988.12</v>
      </c>
      <c r="R322">
        <v>51.64</v>
      </c>
      <c r="S322">
        <v>35.43</v>
      </c>
      <c r="T322">
        <v>7017.83</v>
      </c>
      <c r="U322">
        <v>0.69</v>
      </c>
      <c r="V322">
        <v>0.86</v>
      </c>
      <c r="W322">
        <v>3</v>
      </c>
      <c r="X322">
        <v>0.45</v>
      </c>
      <c r="Y322">
        <v>1</v>
      </c>
      <c r="Z322">
        <v>10</v>
      </c>
    </row>
    <row r="323" spans="1:26" x14ac:dyDescent="0.3">
      <c r="A323">
        <v>27</v>
      </c>
      <c r="B323">
        <v>150</v>
      </c>
      <c r="C323" t="s">
        <v>26</v>
      </c>
      <c r="D323">
        <v>5.7497999999999996</v>
      </c>
      <c r="E323">
        <v>17.39</v>
      </c>
      <c r="F323">
        <v>13.17</v>
      </c>
      <c r="G323">
        <v>35.92</v>
      </c>
      <c r="H323">
        <v>0.44</v>
      </c>
      <c r="I323">
        <v>22</v>
      </c>
      <c r="J323">
        <v>311.04000000000002</v>
      </c>
      <c r="K323">
        <v>61.82</v>
      </c>
      <c r="L323">
        <v>7.75</v>
      </c>
      <c r="M323">
        <v>20</v>
      </c>
      <c r="N323">
        <v>91.47</v>
      </c>
      <c r="O323">
        <v>38596.15</v>
      </c>
      <c r="P323">
        <v>226.15</v>
      </c>
      <c r="Q323">
        <v>988.19</v>
      </c>
      <c r="R323">
        <v>50.62</v>
      </c>
      <c r="S323">
        <v>35.43</v>
      </c>
      <c r="T323">
        <v>6512.28</v>
      </c>
      <c r="U323">
        <v>0.7</v>
      </c>
      <c r="V323">
        <v>0.87</v>
      </c>
      <c r="W323">
        <v>3</v>
      </c>
      <c r="X323">
        <v>0.42</v>
      </c>
      <c r="Y323">
        <v>1</v>
      </c>
      <c r="Z323">
        <v>10</v>
      </c>
    </row>
    <row r="324" spans="1:26" x14ac:dyDescent="0.3">
      <c r="A324">
        <v>28</v>
      </c>
      <c r="B324">
        <v>150</v>
      </c>
      <c r="C324" t="s">
        <v>26</v>
      </c>
      <c r="D324">
        <v>5.7500999999999998</v>
      </c>
      <c r="E324">
        <v>17.39</v>
      </c>
      <c r="F324">
        <v>13.17</v>
      </c>
      <c r="G324">
        <v>35.92</v>
      </c>
      <c r="H324">
        <v>0.46</v>
      </c>
      <c r="I324">
        <v>22</v>
      </c>
      <c r="J324">
        <v>311.58999999999997</v>
      </c>
      <c r="K324">
        <v>61.82</v>
      </c>
      <c r="L324">
        <v>8</v>
      </c>
      <c r="M324">
        <v>20</v>
      </c>
      <c r="N324">
        <v>91.77</v>
      </c>
      <c r="O324">
        <v>38663.620000000003</v>
      </c>
      <c r="P324">
        <v>225.49</v>
      </c>
      <c r="Q324">
        <v>988.28</v>
      </c>
      <c r="R324">
        <v>50.74</v>
      </c>
      <c r="S324">
        <v>35.43</v>
      </c>
      <c r="T324">
        <v>6572.96</v>
      </c>
      <c r="U324">
        <v>0.7</v>
      </c>
      <c r="V324">
        <v>0.87</v>
      </c>
      <c r="W324">
        <v>3</v>
      </c>
      <c r="X324">
        <v>0.42</v>
      </c>
      <c r="Y324">
        <v>1</v>
      </c>
      <c r="Z324">
        <v>10</v>
      </c>
    </row>
    <row r="325" spans="1:26" x14ac:dyDescent="0.3">
      <c r="A325">
        <v>29</v>
      </c>
      <c r="B325">
        <v>150</v>
      </c>
      <c r="C325" t="s">
        <v>26</v>
      </c>
      <c r="D325">
        <v>5.7748999999999997</v>
      </c>
      <c r="E325">
        <v>17.32</v>
      </c>
      <c r="F325">
        <v>13.15</v>
      </c>
      <c r="G325">
        <v>37.58</v>
      </c>
      <c r="H325">
        <v>0.47</v>
      </c>
      <c r="I325">
        <v>21</v>
      </c>
      <c r="J325">
        <v>312.14</v>
      </c>
      <c r="K325">
        <v>61.82</v>
      </c>
      <c r="L325">
        <v>8.25</v>
      </c>
      <c r="M325">
        <v>19</v>
      </c>
      <c r="N325">
        <v>92.07</v>
      </c>
      <c r="O325">
        <v>38731.35</v>
      </c>
      <c r="P325">
        <v>224.5</v>
      </c>
      <c r="Q325">
        <v>988.11</v>
      </c>
      <c r="R325">
        <v>50.29</v>
      </c>
      <c r="S325">
        <v>35.43</v>
      </c>
      <c r="T325">
        <v>6353.41</v>
      </c>
      <c r="U325">
        <v>0.7</v>
      </c>
      <c r="V325">
        <v>0.87</v>
      </c>
      <c r="W325">
        <v>2.99</v>
      </c>
      <c r="X325">
        <v>0.4</v>
      </c>
      <c r="Y325">
        <v>1</v>
      </c>
      <c r="Z325">
        <v>10</v>
      </c>
    </row>
    <row r="326" spans="1:26" x14ac:dyDescent="0.3">
      <c r="A326">
        <v>30</v>
      </c>
      <c r="B326">
        <v>150</v>
      </c>
      <c r="C326" t="s">
        <v>26</v>
      </c>
      <c r="D326">
        <v>5.8021000000000003</v>
      </c>
      <c r="E326">
        <v>17.239999999999998</v>
      </c>
      <c r="F326">
        <v>13.13</v>
      </c>
      <c r="G326">
        <v>39.380000000000003</v>
      </c>
      <c r="H326">
        <v>0.48</v>
      </c>
      <c r="I326">
        <v>20</v>
      </c>
      <c r="J326">
        <v>312.69</v>
      </c>
      <c r="K326">
        <v>61.82</v>
      </c>
      <c r="L326">
        <v>8.5</v>
      </c>
      <c r="M326">
        <v>18</v>
      </c>
      <c r="N326">
        <v>92.37</v>
      </c>
      <c r="O326">
        <v>38799.089999999997</v>
      </c>
      <c r="P326">
        <v>224.02</v>
      </c>
      <c r="Q326">
        <v>988.12</v>
      </c>
      <c r="R326">
        <v>49.31</v>
      </c>
      <c r="S326">
        <v>35.43</v>
      </c>
      <c r="T326">
        <v>5867.64</v>
      </c>
      <c r="U326">
        <v>0.72</v>
      </c>
      <c r="V326">
        <v>0.87</v>
      </c>
      <c r="W326">
        <v>3</v>
      </c>
      <c r="X326">
        <v>0.37</v>
      </c>
      <c r="Y326">
        <v>1</v>
      </c>
      <c r="Z326">
        <v>10</v>
      </c>
    </row>
    <row r="327" spans="1:26" x14ac:dyDescent="0.3">
      <c r="A327">
        <v>31</v>
      </c>
      <c r="B327">
        <v>150</v>
      </c>
      <c r="C327" t="s">
        <v>26</v>
      </c>
      <c r="D327">
        <v>5.8037000000000001</v>
      </c>
      <c r="E327">
        <v>17.23</v>
      </c>
      <c r="F327">
        <v>13.12</v>
      </c>
      <c r="G327">
        <v>39.369999999999997</v>
      </c>
      <c r="H327">
        <v>0.5</v>
      </c>
      <c r="I327">
        <v>20</v>
      </c>
      <c r="J327">
        <v>313.24</v>
      </c>
      <c r="K327">
        <v>61.82</v>
      </c>
      <c r="L327">
        <v>8.75</v>
      </c>
      <c r="M327">
        <v>18</v>
      </c>
      <c r="N327">
        <v>92.67</v>
      </c>
      <c r="O327">
        <v>38866.959999999999</v>
      </c>
      <c r="P327">
        <v>223.18</v>
      </c>
      <c r="Q327">
        <v>988.24</v>
      </c>
      <c r="R327">
        <v>49.01</v>
      </c>
      <c r="S327">
        <v>35.43</v>
      </c>
      <c r="T327">
        <v>5717.27</v>
      </c>
      <c r="U327">
        <v>0.72</v>
      </c>
      <c r="V327">
        <v>0.87</v>
      </c>
      <c r="W327">
        <v>3</v>
      </c>
      <c r="X327">
        <v>0.37</v>
      </c>
      <c r="Y327">
        <v>1</v>
      </c>
      <c r="Z327">
        <v>10</v>
      </c>
    </row>
    <row r="328" spans="1:26" x14ac:dyDescent="0.3">
      <c r="A328">
        <v>32</v>
      </c>
      <c r="B328">
        <v>150</v>
      </c>
      <c r="C328" t="s">
        <v>26</v>
      </c>
      <c r="D328">
        <v>5.8276000000000003</v>
      </c>
      <c r="E328">
        <v>17.16</v>
      </c>
      <c r="F328">
        <v>13.11</v>
      </c>
      <c r="G328">
        <v>41.39</v>
      </c>
      <c r="H328">
        <v>0.51</v>
      </c>
      <c r="I328">
        <v>19</v>
      </c>
      <c r="J328">
        <v>313.79000000000002</v>
      </c>
      <c r="K328">
        <v>61.82</v>
      </c>
      <c r="L328">
        <v>9</v>
      </c>
      <c r="M328">
        <v>17</v>
      </c>
      <c r="N328">
        <v>92.97</v>
      </c>
      <c r="O328">
        <v>38934.97</v>
      </c>
      <c r="P328">
        <v>222.34</v>
      </c>
      <c r="Q328">
        <v>988.13</v>
      </c>
      <c r="R328">
        <v>48.61</v>
      </c>
      <c r="S328">
        <v>35.43</v>
      </c>
      <c r="T328">
        <v>5523.11</v>
      </c>
      <c r="U328">
        <v>0.73</v>
      </c>
      <c r="V328">
        <v>0.87</v>
      </c>
      <c r="W328">
        <v>3</v>
      </c>
      <c r="X328">
        <v>0.35</v>
      </c>
      <c r="Y328">
        <v>1</v>
      </c>
      <c r="Z328">
        <v>10</v>
      </c>
    </row>
    <row r="329" spans="1:26" x14ac:dyDescent="0.3">
      <c r="A329">
        <v>33</v>
      </c>
      <c r="B329">
        <v>150</v>
      </c>
      <c r="C329" t="s">
        <v>26</v>
      </c>
      <c r="D329">
        <v>5.8289999999999997</v>
      </c>
      <c r="E329">
        <v>17.16</v>
      </c>
      <c r="F329">
        <v>13.1</v>
      </c>
      <c r="G329">
        <v>41.38</v>
      </c>
      <c r="H329">
        <v>0.52</v>
      </c>
      <c r="I329">
        <v>19</v>
      </c>
      <c r="J329">
        <v>314.33999999999997</v>
      </c>
      <c r="K329">
        <v>61.82</v>
      </c>
      <c r="L329">
        <v>9.25</v>
      </c>
      <c r="M329">
        <v>17</v>
      </c>
      <c r="N329">
        <v>93.27</v>
      </c>
      <c r="O329">
        <v>39003.11</v>
      </c>
      <c r="P329">
        <v>221.22</v>
      </c>
      <c r="Q329">
        <v>988.08</v>
      </c>
      <c r="R329">
        <v>48.55</v>
      </c>
      <c r="S329">
        <v>35.43</v>
      </c>
      <c r="T329">
        <v>5492.88</v>
      </c>
      <c r="U329">
        <v>0.73</v>
      </c>
      <c r="V329">
        <v>0.87</v>
      </c>
      <c r="W329">
        <v>3</v>
      </c>
      <c r="X329">
        <v>0.35</v>
      </c>
      <c r="Y329">
        <v>1</v>
      </c>
      <c r="Z329">
        <v>10</v>
      </c>
    </row>
    <row r="330" spans="1:26" x14ac:dyDescent="0.3">
      <c r="A330">
        <v>34</v>
      </c>
      <c r="B330">
        <v>150</v>
      </c>
      <c r="C330" t="s">
        <v>26</v>
      </c>
      <c r="D330">
        <v>5.8526999999999996</v>
      </c>
      <c r="E330">
        <v>17.09</v>
      </c>
      <c r="F330">
        <v>13.09</v>
      </c>
      <c r="G330">
        <v>43.63</v>
      </c>
      <c r="H330">
        <v>0.54</v>
      </c>
      <c r="I330">
        <v>18</v>
      </c>
      <c r="J330">
        <v>314.89999999999998</v>
      </c>
      <c r="K330">
        <v>61.82</v>
      </c>
      <c r="L330">
        <v>9.5</v>
      </c>
      <c r="M330">
        <v>16</v>
      </c>
      <c r="N330">
        <v>93.57</v>
      </c>
      <c r="O330">
        <v>39071.379999999997</v>
      </c>
      <c r="P330">
        <v>221.09</v>
      </c>
      <c r="Q330">
        <v>988.08</v>
      </c>
      <c r="R330">
        <v>48.02</v>
      </c>
      <c r="S330">
        <v>35.43</v>
      </c>
      <c r="T330">
        <v>5232.83</v>
      </c>
      <c r="U330">
        <v>0.74</v>
      </c>
      <c r="V330">
        <v>0.87</v>
      </c>
      <c r="W330">
        <v>3</v>
      </c>
      <c r="X330">
        <v>0.34</v>
      </c>
      <c r="Y330">
        <v>1</v>
      </c>
      <c r="Z330">
        <v>10</v>
      </c>
    </row>
    <row r="331" spans="1:26" x14ac:dyDescent="0.3">
      <c r="A331">
        <v>35</v>
      </c>
      <c r="B331">
        <v>150</v>
      </c>
      <c r="C331" t="s">
        <v>26</v>
      </c>
      <c r="D331">
        <v>5.8537999999999997</v>
      </c>
      <c r="E331">
        <v>17.079999999999998</v>
      </c>
      <c r="F331">
        <v>13.09</v>
      </c>
      <c r="G331">
        <v>43.62</v>
      </c>
      <c r="H331">
        <v>0.55000000000000004</v>
      </c>
      <c r="I331">
        <v>18</v>
      </c>
      <c r="J331">
        <v>315.45</v>
      </c>
      <c r="K331">
        <v>61.82</v>
      </c>
      <c r="L331">
        <v>9.75</v>
      </c>
      <c r="M331">
        <v>16</v>
      </c>
      <c r="N331">
        <v>93.88</v>
      </c>
      <c r="O331">
        <v>39139.800000000003</v>
      </c>
      <c r="P331">
        <v>219.95</v>
      </c>
      <c r="Q331">
        <v>988.08</v>
      </c>
      <c r="R331">
        <v>48.05</v>
      </c>
      <c r="S331">
        <v>35.43</v>
      </c>
      <c r="T331">
        <v>5244.1</v>
      </c>
      <c r="U331">
        <v>0.74</v>
      </c>
      <c r="V331">
        <v>0.87</v>
      </c>
      <c r="W331">
        <v>2.99</v>
      </c>
      <c r="X331">
        <v>0.33</v>
      </c>
      <c r="Y331">
        <v>1</v>
      </c>
      <c r="Z331">
        <v>10</v>
      </c>
    </row>
    <row r="332" spans="1:26" x14ac:dyDescent="0.3">
      <c r="A332">
        <v>36</v>
      </c>
      <c r="B332">
        <v>150</v>
      </c>
      <c r="C332" t="s">
        <v>26</v>
      </c>
      <c r="D332">
        <v>5.8792999999999997</v>
      </c>
      <c r="E332">
        <v>17.010000000000002</v>
      </c>
      <c r="F332">
        <v>13.07</v>
      </c>
      <c r="G332">
        <v>46.12</v>
      </c>
      <c r="H332">
        <v>0.56000000000000005</v>
      </c>
      <c r="I332">
        <v>17</v>
      </c>
      <c r="J332">
        <v>316.01</v>
      </c>
      <c r="K332">
        <v>61.82</v>
      </c>
      <c r="L332">
        <v>10</v>
      </c>
      <c r="M332">
        <v>15</v>
      </c>
      <c r="N332">
        <v>94.18</v>
      </c>
      <c r="O332">
        <v>39208.35</v>
      </c>
      <c r="P332">
        <v>218.64</v>
      </c>
      <c r="Q332">
        <v>988.12</v>
      </c>
      <c r="R332">
        <v>47.41</v>
      </c>
      <c r="S332">
        <v>35.43</v>
      </c>
      <c r="T332">
        <v>4932.72</v>
      </c>
      <c r="U332">
        <v>0.75</v>
      </c>
      <c r="V332">
        <v>0.87</v>
      </c>
      <c r="W332">
        <v>2.99</v>
      </c>
      <c r="X332">
        <v>0.31</v>
      </c>
      <c r="Y332">
        <v>1</v>
      </c>
      <c r="Z332">
        <v>10</v>
      </c>
    </row>
    <row r="333" spans="1:26" x14ac:dyDescent="0.3">
      <c r="A333">
        <v>37</v>
      </c>
      <c r="B333">
        <v>150</v>
      </c>
      <c r="C333" t="s">
        <v>26</v>
      </c>
      <c r="D333">
        <v>5.8758999999999997</v>
      </c>
      <c r="E333">
        <v>17.02</v>
      </c>
      <c r="F333">
        <v>13.08</v>
      </c>
      <c r="G333">
        <v>46.15</v>
      </c>
      <c r="H333">
        <v>0.57999999999999996</v>
      </c>
      <c r="I333">
        <v>17</v>
      </c>
      <c r="J333">
        <v>316.56</v>
      </c>
      <c r="K333">
        <v>61.82</v>
      </c>
      <c r="L333">
        <v>10.25</v>
      </c>
      <c r="M333">
        <v>15</v>
      </c>
      <c r="N333">
        <v>94.49</v>
      </c>
      <c r="O333">
        <v>39277.040000000001</v>
      </c>
      <c r="P333">
        <v>218.6</v>
      </c>
      <c r="Q333">
        <v>988.13</v>
      </c>
      <c r="R333">
        <v>47.75</v>
      </c>
      <c r="S333">
        <v>35.43</v>
      </c>
      <c r="T333">
        <v>5099.9399999999996</v>
      </c>
      <c r="U333">
        <v>0.74</v>
      </c>
      <c r="V333">
        <v>0.87</v>
      </c>
      <c r="W333">
        <v>2.99</v>
      </c>
      <c r="X333">
        <v>0.32</v>
      </c>
      <c r="Y333">
        <v>1</v>
      </c>
      <c r="Z333">
        <v>10</v>
      </c>
    </row>
    <row r="334" spans="1:26" x14ac:dyDescent="0.3">
      <c r="A334">
        <v>38</v>
      </c>
      <c r="B334">
        <v>150</v>
      </c>
      <c r="C334" t="s">
        <v>26</v>
      </c>
      <c r="D334">
        <v>5.9074</v>
      </c>
      <c r="E334">
        <v>16.93</v>
      </c>
      <c r="F334">
        <v>13.04</v>
      </c>
      <c r="G334">
        <v>48.91</v>
      </c>
      <c r="H334">
        <v>0.59</v>
      </c>
      <c r="I334">
        <v>16</v>
      </c>
      <c r="J334">
        <v>317.12</v>
      </c>
      <c r="K334">
        <v>61.82</v>
      </c>
      <c r="L334">
        <v>10.5</v>
      </c>
      <c r="M334">
        <v>14</v>
      </c>
      <c r="N334">
        <v>94.8</v>
      </c>
      <c r="O334">
        <v>39345.870000000003</v>
      </c>
      <c r="P334">
        <v>217.57</v>
      </c>
      <c r="Q334">
        <v>988.13</v>
      </c>
      <c r="R334">
        <v>46.71</v>
      </c>
      <c r="S334">
        <v>35.43</v>
      </c>
      <c r="T334">
        <v>4586.51</v>
      </c>
      <c r="U334">
        <v>0.76</v>
      </c>
      <c r="V334">
        <v>0.87</v>
      </c>
      <c r="W334">
        <v>2.99</v>
      </c>
      <c r="X334">
        <v>0.28999999999999998</v>
      </c>
      <c r="Y334">
        <v>1</v>
      </c>
      <c r="Z334">
        <v>10</v>
      </c>
    </row>
    <row r="335" spans="1:26" x14ac:dyDescent="0.3">
      <c r="A335">
        <v>39</v>
      </c>
      <c r="B335">
        <v>150</v>
      </c>
      <c r="C335" t="s">
        <v>26</v>
      </c>
      <c r="D335">
        <v>5.9038000000000004</v>
      </c>
      <c r="E335">
        <v>16.940000000000001</v>
      </c>
      <c r="F335">
        <v>13.05</v>
      </c>
      <c r="G335">
        <v>48.95</v>
      </c>
      <c r="H335">
        <v>0.6</v>
      </c>
      <c r="I335">
        <v>16</v>
      </c>
      <c r="J335">
        <v>317.68</v>
      </c>
      <c r="K335">
        <v>61.82</v>
      </c>
      <c r="L335">
        <v>10.75</v>
      </c>
      <c r="M335">
        <v>14</v>
      </c>
      <c r="N335">
        <v>95.11</v>
      </c>
      <c r="O335">
        <v>39414.839999999997</v>
      </c>
      <c r="P335">
        <v>217.55</v>
      </c>
      <c r="Q335">
        <v>988.12</v>
      </c>
      <c r="R335">
        <v>46.99</v>
      </c>
      <c r="S335">
        <v>35.43</v>
      </c>
      <c r="T335">
        <v>4728.46</v>
      </c>
      <c r="U335">
        <v>0.75</v>
      </c>
      <c r="V335">
        <v>0.87</v>
      </c>
      <c r="W335">
        <v>2.99</v>
      </c>
      <c r="X335">
        <v>0.3</v>
      </c>
      <c r="Y335">
        <v>1</v>
      </c>
      <c r="Z335">
        <v>10</v>
      </c>
    </row>
    <row r="336" spans="1:26" x14ac:dyDescent="0.3">
      <c r="A336">
        <v>40</v>
      </c>
      <c r="B336">
        <v>150</v>
      </c>
      <c r="C336" t="s">
        <v>26</v>
      </c>
      <c r="D336">
        <v>5.9010999999999996</v>
      </c>
      <c r="E336">
        <v>16.95</v>
      </c>
      <c r="F336">
        <v>13.06</v>
      </c>
      <c r="G336">
        <v>48.98</v>
      </c>
      <c r="H336">
        <v>0.62</v>
      </c>
      <c r="I336">
        <v>16</v>
      </c>
      <c r="J336">
        <v>318.24</v>
      </c>
      <c r="K336">
        <v>61.82</v>
      </c>
      <c r="L336">
        <v>11</v>
      </c>
      <c r="M336">
        <v>14</v>
      </c>
      <c r="N336">
        <v>95.42</v>
      </c>
      <c r="O336">
        <v>39483.949999999997</v>
      </c>
      <c r="P336">
        <v>216.69</v>
      </c>
      <c r="Q336">
        <v>988.14</v>
      </c>
      <c r="R336">
        <v>47.25</v>
      </c>
      <c r="S336">
        <v>35.43</v>
      </c>
      <c r="T336">
        <v>4854.53</v>
      </c>
      <c r="U336">
        <v>0.75</v>
      </c>
      <c r="V336">
        <v>0.87</v>
      </c>
      <c r="W336">
        <v>2.99</v>
      </c>
      <c r="X336">
        <v>0.31</v>
      </c>
      <c r="Y336">
        <v>1</v>
      </c>
      <c r="Z336">
        <v>10</v>
      </c>
    </row>
    <row r="337" spans="1:26" x14ac:dyDescent="0.3">
      <c r="A337">
        <v>41</v>
      </c>
      <c r="B337">
        <v>150</v>
      </c>
      <c r="C337" t="s">
        <v>26</v>
      </c>
      <c r="D337">
        <v>5.9260000000000002</v>
      </c>
      <c r="E337">
        <v>16.87</v>
      </c>
      <c r="F337">
        <v>13.04</v>
      </c>
      <c r="G337">
        <v>52.18</v>
      </c>
      <c r="H337">
        <v>0.63</v>
      </c>
      <c r="I337">
        <v>15</v>
      </c>
      <c r="J337">
        <v>318.8</v>
      </c>
      <c r="K337">
        <v>61.82</v>
      </c>
      <c r="L337">
        <v>11.25</v>
      </c>
      <c r="M337">
        <v>13</v>
      </c>
      <c r="N337">
        <v>95.73</v>
      </c>
      <c r="O337">
        <v>39553.199999999997</v>
      </c>
      <c r="P337">
        <v>216.17</v>
      </c>
      <c r="Q337">
        <v>988.08</v>
      </c>
      <c r="R337">
        <v>46.72</v>
      </c>
      <c r="S337">
        <v>35.43</v>
      </c>
      <c r="T337">
        <v>4596.99</v>
      </c>
      <c r="U337">
        <v>0.76</v>
      </c>
      <c r="V337">
        <v>0.87</v>
      </c>
      <c r="W337">
        <v>2.99</v>
      </c>
      <c r="X337">
        <v>0.28999999999999998</v>
      </c>
      <c r="Y337">
        <v>1</v>
      </c>
      <c r="Z337">
        <v>10</v>
      </c>
    </row>
    <row r="338" spans="1:26" x14ac:dyDescent="0.3">
      <c r="A338">
        <v>42</v>
      </c>
      <c r="B338">
        <v>150</v>
      </c>
      <c r="C338" t="s">
        <v>26</v>
      </c>
      <c r="D338">
        <v>5.9314999999999998</v>
      </c>
      <c r="E338">
        <v>16.86</v>
      </c>
      <c r="F338">
        <v>13.03</v>
      </c>
      <c r="G338">
        <v>52.11</v>
      </c>
      <c r="H338">
        <v>0.64</v>
      </c>
      <c r="I338">
        <v>15</v>
      </c>
      <c r="J338">
        <v>319.36</v>
      </c>
      <c r="K338">
        <v>61.82</v>
      </c>
      <c r="L338">
        <v>11.5</v>
      </c>
      <c r="M338">
        <v>13</v>
      </c>
      <c r="N338">
        <v>96.04</v>
      </c>
      <c r="O338">
        <v>39622.589999999997</v>
      </c>
      <c r="P338">
        <v>215.28</v>
      </c>
      <c r="Q338">
        <v>988.08</v>
      </c>
      <c r="R338">
        <v>46.39</v>
      </c>
      <c r="S338">
        <v>35.43</v>
      </c>
      <c r="T338">
        <v>4432.71</v>
      </c>
      <c r="U338">
        <v>0.76</v>
      </c>
      <c r="V338">
        <v>0.87</v>
      </c>
      <c r="W338">
        <v>2.99</v>
      </c>
      <c r="X338">
        <v>0.28000000000000003</v>
      </c>
      <c r="Y338">
        <v>1</v>
      </c>
      <c r="Z338">
        <v>10</v>
      </c>
    </row>
    <row r="339" spans="1:26" x14ac:dyDescent="0.3">
      <c r="A339">
        <v>43</v>
      </c>
      <c r="B339">
        <v>150</v>
      </c>
      <c r="C339" t="s">
        <v>26</v>
      </c>
      <c r="D339">
        <v>5.9257</v>
      </c>
      <c r="E339">
        <v>16.88</v>
      </c>
      <c r="F339">
        <v>13.04</v>
      </c>
      <c r="G339">
        <v>52.18</v>
      </c>
      <c r="H339">
        <v>0.65</v>
      </c>
      <c r="I339">
        <v>15</v>
      </c>
      <c r="J339">
        <v>319.93</v>
      </c>
      <c r="K339">
        <v>61.82</v>
      </c>
      <c r="L339">
        <v>11.75</v>
      </c>
      <c r="M339">
        <v>13</v>
      </c>
      <c r="N339">
        <v>96.36</v>
      </c>
      <c r="O339">
        <v>39692.129999999997</v>
      </c>
      <c r="P339">
        <v>214.77</v>
      </c>
      <c r="Q339">
        <v>988.16</v>
      </c>
      <c r="R339">
        <v>46.73</v>
      </c>
      <c r="S339">
        <v>35.43</v>
      </c>
      <c r="T339">
        <v>4600.43</v>
      </c>
      <c r="U339">
        <v>0.76</v>
      </c>
      <c r="V339">
        <v>0.87</v>
      </c>
      <c r="W339">
        <v>2.99</v>
      </c>
      <c r="X339">
        <v>0.28999999999999998</v>
      </c>
      <c r="Y339">
        <v>1</v>
      </c>
      <c r="Z339">
        <v>10</v>
      </c>
    </row>
    <row r="340" spans="1:26" x14ac:dyDescent="0.3">
      <c r="A340">
        <v>44</v>
      </c>
      <c r="B340">
        <v>150</v>
      </c>
      <c r="C340" t="s">
        <v>26</v>
      </c>
      <c r="D340">
        <v>5.9595000000000002</v>
      </c>
      <c r="E340">
        <v>16.78</v>
      </c>
      <c r="F340">
        <v>13.01</v>
      </c>
      <c r="G340">
        <v>55.74</v>
      </c>
      <c r="H340">
        <v>0.67</v>
      </c>
      <c r="I340">
        <v>14</v>
      </c>
      <c r="J340">
        <v>320.49</v>
      </c>
      <c r="K340">
        <v>61.82</v>
      </c>
      <c r="L340">
        <v>12</v>
      </c>
      <c r="M340">
        <v>12</v>
      </c>
      <c r="N340">
        <v>96.67</v>
      </c>
      <c r="O340">
        <v>39761.81</v>
      </c>
      <c r="P340">
        <v>213.96</v>
      </c>
      <c r="Q340">
        <v>988.09</v>
      </c>
      <c r="R340">
        <v>45.55</v>
      </c>
      <c r="S340">
        <v>35.43</v>
      </c>
      <c r="T340">
        <v>4015.5</v>
      </c>
      <c r="U340">
        <v>0.78</v>
      </c>
      <c r="V340">
        <v>0.88</v>
      </c>
      <c r="W340">
        <v>2.99</v>
      </c>
      <c r="X340">
        <v>0.25</v>
      </c>
      <c r="Y340">
        <v>1</v>
      </c>
      <c r="Z340">
        <v>10</v>
      </c>
    </row>
    <row r="341" spans="1:26" x14ac:dyDescent="0.3">
      <c r="A341">
        <v>45</v>
      </c>
      <c r="B341">
        <v>150</v>
      </c>
      <c r="C341" t="s">
        <v>26</v>
      </c>
      <c r="D341">
        <v>5.9574999999999996</v>
      </c>
      <c r="E341">
        <v>16.79</v>
      </c>
      <c r="F341">
        <v>13.01</v>
      </c>
      <c r="G341">
        <v>55.76</v>
      </c>
      <c r="H341">
        <v>0.68</v>
      </c>
      <c r="I341">
        <v>14</v>
      </c>
      <c r="J341">
        <v>321.06</v>
      </c>
      <c r="K341">
        <v>61.82</v>
      </c>
      <c r="L341">
        <v>12.25</v>
      </c>
      <c r="M341">
        <v>12</v>
      </c>
      <c r="N341">
        <v>96.99</v>
      </c>
      <c r="O341">
        <v>39831.64</v>
      </c>
      <c r="P341">
        <v>213.72</v>
      </c>
      <c r="Q341">
        <v>988.11</v>
      </c>
      <c r="R341">
        <v>45.7</v>
      </c>
      <c r="S341">
        <v>35.43</v>
      </c>
      <c r="T341">
        <v>4090.82</v>
      </c>
      <c r="U341">
        <v>0.78</v>
      </c>
      <c r="V341">
        <v>0.88</v>
      </c>
      <c r="W341">
        <v>2.99</v>
      </c>
      <c r="X341">
        <v>0.26</v>
      </c>
      <c r="Y341">
        <v>1</v>
      </c>
      <c r="Z341">
        <v>10</v>
      </c>
    </row>
    <row r="342" spans="1:26" x14ac:dyDescent="0.3">
      <c r="A342">
        <v>46</v>
      </c>
      <c r="B342">
        <v>150</v>
      </c>
      <c r="C342" t="s">
        <v>26</v>
      </c>
      <c r="D342">
        <v>5.9608999999999996</v>
      </c>
      <c r="E342">
        <v>16.78</v>
      </c>
      <c r="F342">
        <v>13</v>
      </c>
      <c r="G342">
        <v>55.72</v>
      </c>
      <c r="H342">
        <v>0.69</v>
      </c>
      <c r="I342">
        <v>14</v>
      </c>
      <c r="J342">
        <v>321.63</v>
      </c>
      <c r="K342">
        <v>61.82</v>
      </c>
      <c r="L342">
        <v>12.5</v>
      </c>
      <c r="M342">
        <v>12</v>
      </c>
      <c r="N342">
        <v>97.31</v>
      </c>
      <c r="O342">
        <v>39901.61</v>
      </c>
      <c r="P342">
        <v>212.68</v>
      </c>
      <c r="Q342">
        <v>988.11</v>
      </c>
      <c r="R342">
        <v>45.39</v>
      </c>
      <c r="S342">
        <v>35.43</v>
      </c>
      <c r="T342">
        <v>3933.78</v>
      </c>
      <c r="U342">
        <v>0.78</v>
      </c>
      <c r="V342">
        <v>0.88</v>
      </c>
      <c r="W342">
        <v>2.99</v>
      </c>
      <c r="X342">
        <v>0.25</v>
      </c>
      <c r="Y342">
        <v>1</v>
      </c>
      <c r="Z342">
        <v>10</v>
      </c>
    </row>
    <row r="343" spans="1:26" x14ac:dyDescent="0.3">
      <c r="A343">
        <v>47</v>
      </c>
      <c r="B343">
        <v>150</v>
      </c>
      <c r="C343" t="s">
        <v>26</v>
      </c>
      <c r="D343">
        <v>5.9821999999999997</v>
      </c>
      <c r="E343">
        <v>16.72</v>
      </c>
      <c r="F343">
        <v>13</v>
      </c>
      <c r="G343">
        <v>59.99</v>
      </c>
      <c r="H343">
        <v>0.71</v>
      </c>
      <c r="I343">
        <v>13</v>
      </c>
      <c r="J343">
        <v>322.2</v>
      </c>
      <c r="K343">
        <v>61.82</v>
      </c>
      <c r="L343">
        <v>12.75</v>
      </c>
      <c r="M343">
        <v>11</v>
      </c>
      <c r="N343">
        <v>97.62</v>
      </c>
      <c r="O343">
        <v>39971.730000000003</v>
      </c>
      <c r="P343">
        <v>211.69</v>
      </c>
      <c r="Q343">
        <v>988.14</v>
      </c>
      <c r="R343">
        <v>45.25</v>
      </c>
      <c r="S343">
        <v>35.43</v>
      </c>
      <c r="T343">
        <v>3872.66</v>
      </c>
      <c r="U343">
        <v>0.78</v>
      </c>
      <c r="V343">
        <v>0.88</v>
      </c>
      <c r="W343">
        <v>2.99</v>
      </c>
      <c r="X343">
        <v>0.24</v>
      </c>
      <c r="Y343">
        <v>1</v>
      </c>
      <c r="Z343">
        <v>10</v>
      </c>
    </row>
    <row r="344" spans="1:26" x14ac:dyDescent="0.3">
      <c r="A344">
        <v>48</v>
      </c>
      <c r="B344">
        <v>150</v>
      </c>
      <c r="C344" t="s">
        <v>26</v>
      </c>
      <c r="D344">
        <v>5.9798999999999998</v>
      </c>
      <c r="E344">
        <v>16.72</v>
      </c>
      <c r="F344">
        <v>13</v>
      </c>
      <c r="G344">
        <v>60.02</v>
      </c>
      <c r="H344">
        <v>0.72</v>
      </c>
      <c r="I344">
        <v>13</v>
      </c>
      <c r="J344">
        <v>322.77</v>
      </c>
      <c r="K344">
        <v>61.82</v>
      </c>
      <c r="L344">
        <v>13</v>
      </c>
      <c r="M344">
        <v>11</v>
      </c>
      <c r="N344">
        <v>97.94</v>
      </c>
      <c r="O344">
        <v>40042</v>
      </c>
      <c r="P344">
        <v>211.44</v>
      </c>
      <c r="Q344">
        <v>988.11</v>
      </c>
      <c r="R344">
        <v>45.52</v>
      </c>
      <c r="S344">
        <v>35.43</v>
      </c>
      <c r="T344">
        <v>4004.01</v>
      </c>
      <c r="U344">
        <v>0.78</v>
      </c>
      <c r="V344">
        <v>0.88</v>
      </c>
      <c r="W344">
        <v>2.99</v>
      </c>
      <c r="X344">
        <v>0.25</v>
      </c>
      <c r="Y344">
        <v>1</v>
      </c>
      <c r="Z344">
        <v>10</v>
      </c>
    </row>
    <row r="345" spans="1:26" x14ac:dyDescent="0.3">
      <c r="A345">
        <v>49</v>
      </c>
      <c r="B345">
        <v>150</v>
      </c>
      <c r="C345" t="s">
        <v>26</v>
      </c>
      <c r="D345">
        <v>5.9824999999999999</v>
      </c>
      <c r="E345">
        <v>16.72</v>
      </c>
      <c r="F345">
        <v>13</v>
      </c>
      <c r="G345">
        <v>59.98</v>
      </c>
      <c r="H345">
        <v>0.73</v>
      </c>
      <c r="I345">
        <v>13</v>
      </c>
      <c r="J345">
        <v>323.33999999999997</v>
      </c>
      <c r="K345">
        <v>61.82</v>
      </c>
      <c r="L345">
        <v>13.25</v>
      </c>
      <c r="M345">
        <v>11</v>
      </c>
      <c r="N345">
        <v>98.27</v>
      </c>
      <c r="O345">
        <v>40112.54</v>
      </c>
      <c r="P345">
        <v>211.26</v>
      </c>
      <c r="Q345">
        <v>988.1</v>
      </c>
      <c r="R345">
        <v>45.29</v>
      </c>
      <c r="S345">
        <v>35.43</v>
      </c>
      <c r="T345">
        <v>3890.43</v>
      </c>
      <c r="U345">
        <v>0.78</v>
      </c>
      <c r="V345">
        <v>0.88</v>
      </c>
      <c r="W345">
        <v>2.99</v>
      </c>
      <c r="X345">
        <v>0.24</v>
      </c>
      <c r="Y345">
        <v>1</v>
      </c>
      <c r="Z345">
        <v>10</v>
      </c>
    </row>
    <row r="346" spans="1:26" x14ac:dyDescent="0.3">
      <c r="A346">
        <v>50</v>
      </c>
      <c r="B346">
        <v>150</v>
      </c>
      <c r="C346" t="s">
        <v>26</v>
      </c>
      <c r="D346">
        <v>5.9863999999999997</v>
      </c>
      <c r="E346">
        <v>16.7</v>
      </c>
      <c r="F346">
        <v>12.98</v>
      </c>
      <c r="G346">
        <v>59.93</v>
      </c>
      <c r="H346">
        <v>0.74</v>
      </c>
      <c r="I346">
        <v>13</v>
      </c>
      <c r="J346">
        <v>323.91000000000003</v>
      </c>
      <c r="K346">
        <v>61.82</v>
      </c>
      <c r="L346">
        <v>13.5</v>
      </c>
      <c r="M346">
        <v>11</v>
      </c>
      <c r="N346">
        <v>98.59</v>
      </c>
      <c r="O346">
        <v>40183.11</v>
      </c>
      <c r="P346">
        <v>209.72</v>
      </c>
      <c r="Q346">
        <v>988.11</v>
      </c>
      <c r="R346">
        <v>44.8</v>
      </c>
      <c r="S346">
        <v>35.43</v>
      </c>
      <c r="T346">
        <v>3647.19</v>
      </c>
      <c r="U346">
        <v>0.79</v>
      </c>
      <c r="V346">
        <v>0.88</v>
      </c>
      <c r="W346">
        <v>2.99</v>
      </c>
      <c r="X346">
        <v>0.23</v>
      </c>
      <c r="Y346">
        <v>1</v>
      </c>
      <c r="Z346">
        <v>10</v>
      </c>
    </row>
    <row r="347" spans="1:26" x14ac:dyDescent="0.3">
      <c r="A347">
        <v>51</v>
      </c>
      <c r="B347">
        <v>150</v>
      </c>
      <c r="C347" t="s">
        <v>26</v>
      </c>
      <c r="D347">
        <v>6.0122</v>
      </c>
      <c r="E347">
        <v>16.63</v>
      </c>
      <c r="F347">
        <v>12.97</v>
      </c>
      <c r="G347">
        <v>64.84</v>
      </c>
      <c r="H347">
        <v>0.76</v>
      </c>
      <c r="I347">
        <v>12</v>
      </c>
      <c r="J347">
        <v>324.48</v>
      </c>
      <c r="K347">
        <v>61.82</v>
      </c>
      <c r="L347">
        <v>13.75</v>
      </c>
      <c r="M347">
        <v>10</v>
      </c>
      <c r="N347">
        <v>98.91</v>
      </c>
      <c r="O347">
        <v>40253.839999999997</v>
      </c>
      <c r="P347">
        <v>208.84</v>
      </c>
      <c r="Q347">
        <v>988.14</v>
      </c>
      <c r="R347">
        <v>44.38</v>
      </c>
      <c r="S347">
        <v>35.43</v>
      </c>
      <c r="T347">
        <v>3440.31</v>
      </c>
      <c r="U347">
        <v>0.8</v>
      </c>
      <c r="V347">
        <v>0.88</v>
      </c>
      <c r="W347">
        <v>2.98</v>
      </c>
      <c r="X347">
        <v>0.21</v>
      </c>
      <c r="Y347">
        <v>1</v>
      </c>
      <c r="Z347">
        <v>10</v>
      </c>
    </row>
    <row r="348" spans="1:26" x14ac:dyDescent="0.3">
      <c r="A348">
        <v>52</v>
      </c>
      <c r="B348">
        <v>150</v>
      </c>
      <c r="C348" t="s">
        <v>26</v>
      </c>
      <c r="D348">
        <v>6.0124000000000004</v>
      </c>
      <c r="E348">
        <v>16.63</v>
      </c>
      <c r="F348">
        <v>12.97</v>
      </c>
      <c r="G348">
        <v>64.84</v>
      </c>
      <c r="H348">
        <v>0.77</v>
      </c>
      <c r="I348">
        <v>12</v>
      </c>
      <c r="J348">
        <v>325.06</v>
      </c>
      <c r="K348">
        <v>61.82</v>
      </c>
      <c r="L348">
        <v>14</v>
      </c>
      <c r="M348">
        <v>10</v>
      </c>
      <c r="N348">
        <v>99.24</v>
      </c>
      <c r="O348">
        <v>40324.71</v>
      </c>
      <c r="P348">
        <v>208.55</v>
      </c>
      <c r="Q348">
        <v>988.11</v>
      </c>
      <c r="R348">
        <v>44.44</v>
      </c>
      <c r="S348">
        <v>35.43</v>
      </c>
      <c r="T348">
        <v>3472.48</v>
      </c>
      <c r="U348">
        <v>0.8</v>
      </c>
      <c r="V348">
        <v>0.88</v>
      </c>
      <c r="W348">
        <v>2.98</v>
      </c>
      <c r="X348">
        <v>0.21</v>
      </c>
      <c r="Y348">
        <v>1</v>
      </c>
      <c r="Z348">
        <v>10</v>
      </c>
    </row>
    <row r="349" spans="1:26" x14ac:dyDescent="0.3">
      <c r="A349">
        <v>53</v>
      </c>
      <c r="B349">
        <v>150</v>
      </c>
      <c r="C349" t="s">
        <v>26</v>
      </c>
      <c r="D349">
        <v>6.0145999999999997</v>
      </c>
      <c r="E349">
        <v>16.63</v>
      </c>
      <c r="F349">
        <v>12.96</v>
      </c>
      <c r="G349">
        <v>64.81</v>
      </c>
      <c r="H349">
        <v>0.78</v>
      </c>
      <c r="I349">
        <v>12</v>
      </c>
      <c r="J349">
        <v>325.63</v>
      </c>
      <c r="K349">
        <v>61.82</v>
      </c>
      <c r="L349">
        <v>14.25</v>
      </c>
      <c r="M349">
        <v>10</v>
      </c>
      <c r="N349">
        <v>99.56</v>
      </c>
      <c r="O349">
        <v>40395.74</v>
      </c>
      <c r="P349">
        <v>208.19</v>
      </c>
      <c r="Q349">
        <v>988.09</v>
      </c>
      <c r="R349">
        <v>44.13</v>
      </c>
      <c r="S349">
        <v>35.43</v>
      </c>
      <c r="T349">
        <v>3316.98</v>
      </c>
      <c r="U349">
        <v>0.8</v>
      </c>
      <c r="V349">
        <v>0.88</v>
      </c>
      <c r="W349">
        <v>2.98</v>
      </c>
      <c r="X349">
        <v>0.21</v>
      </c>
      <c r="Y349">
        <v>1</v>
      </c>
      <c r="Z349">
        <v>10</v>
      </c>
    </row>
    <row r="350" spans="1:26" x14ac:dyDescent="0.3">
      <c r="A350">
        <v>54</v>
      </c>
      <c r="B350">
        <v>150</v>
      </c>
      <c r="C350" t="s">
        <v>26</v>
      </c>
      <c r="D350">
        <v>6.0138999999999996</v>
      </c>
      <c r="E350">
        <v>16.63</v>
      </c>
      <c r="F350">
        <v>12.96</v>
      </c>
      <c r="G350">
        <v>64.819999999999993</v>
      </c>
      <c r="H350">
        <v>0.79</v>
      </c>
      <c r="I350">
        <v>12</v>
      </c>
      <c r="J350">
        <v>326.20999999999998</v>
      </c>
      <c r="K350">
        <v>61.82</v>
      </c>
      <c r="L350">
        <v>14.5</v>
      </c>
      <c r="M350">
        <v>10</v>
      </c>
      <c r="N350">
        <v>99.89</v>
      </c>
      <c r="O350">
        <v>40466.92</v>
      </c>
      <c r="P350">
        <v>207.07</v>
      </c>
      <c r="Q350">
        <v>988.08</v>
      </c>
      <c r="R350">
        <v>44.39</v>
      </c>
      <c r="S350">
        <v>35.43</v>
      </c>
      <c r="T350">
        <v>3445.11</v>
      </c>
      <c r="U350">
        <v>0.8</v>
      </c>
      <c r="V350">
        <v>0.88</v>
      </c>
      <c r="W350">
        <v>2.98</v>
      </c>
      <c r="X350">
        <v>0.21</v>
      </c>
      <c r="Y350">
        <v>1</v>
      </c>
      <c r="Z350">
        <v>10</v>
      </c>
    </row>
    <row r="351" spans="1:26" x14ac:dyDescent="0.3">
      <c r="A351">
        <v>55</v>
      </c>
      <c r="B351">
        <v>150</v>
      </c>
      <c r="C351" t="s">
        <v>26</v>
      </c>
      <c r="D351">
        <v>6.0411000000000001</v>
      </c>
      <c r="E351">
        <v>16.55</v>
      </c>
      <c r="F351">
        <v>12.95</v>
      </c>
      <c r="G351">
        <v>70.61</v>
      </c>
      <c r="H351">
        <v>0.8</v>
      </c>
      <c r="I351">
        <v>11</v>
      </c>
      <c r="J351">
        <v>326.79000000000002</v>
      </c>
      <c r="K351">
        <v>61.82</v>
      </c>
      <c r="L351">
        <v>14.75</v>
      </c>
      <c r="M351">
        <v>9</v>
      </c>
      <c r="N351">
        <v>100.22</v>
      </c>
      <c r="O351">
        <v>40538.25</v>
      </c>
      <c r="P351">
        <v>206.09</v>
      </c>
      <c r="Q351">
        <v>988.12</v>
      </c>
      <c r="R351">
        <v>43.77</v>
      </c>
      <c r="S351">
        <v>35.43</v>
      </c>
      <c r="T351">
        <v>3142.56</v>
      </c>
      <c r="U351">
        <v>0.81</v>
      </c>
      <c r="V351">
        <v>0.88</v>
      </c>
      <c r="W351">
        <v>2.98</v>
      </c>
      <c r="X351">
        <v>0.19</v>
      </c>
      <c r="Y351">
        <v>1</v>
      </c>
      <c r="Z351">
        <v>10</v>
      </c>
    </row>
    <row r="352" spans="1:26" x14ac:dyDescent="0.3">
      <c r="A352">
        <v>56</v>
      </c>
      <c r="B352">
        <v>150</v>
      </c>
      <c r="C352" t="s">
        <v>26</v>
      </c>
      <c r="D352">
        <v>6.0345000000000004</v>
      </c>
      <c r="E352">
        <v>16.57</v>
      </c>
      <c r="F352">
        <v>12.96</v>
      </c>
      <c r="G352">
        <v>70.709999999999994</v>
      </c>
      <c r="H352">
        <v>0.82</v>
      </c>
      <c r="I352">
        <v>11</v>
      </c>
      <c r="J352">
        <v>327.37</v>
      </c>
      <c r="K352">
        <v>61.82</v>
      </c>
      <c r="L352">
        <v>15</v>
      </c>
      <c r="M352">
        <v>9</v>
      </c>
      <c r="N352">
        <v>100.55</v>
      </c>
      <c r="O352">
        <v>40609.74</v>
      </c>
      <c r="P352">
        <v>206.29</v>
      </c>
      <c r="Q352">
        <v>988.08</v>
      </c>
      <c r="R352">
        <v>44.2</v>
      </c>
      <c r="S352">
        <v>35.43</v>
      </c>
      <c r="T352">
        <v>3354.58</v>
      </c>
      <c r="U352">
        <v>0.8</v>
      </c>
      <c r="V352">
        <v>0.88</v>
      </c>
      <c r="W352">
        <v>2.99</v>
      </c>
      <c r="X352">
        <v>0.21</v>
      </c>
      <c r="Y352">
        <v>1</v>
      </c>
      <c r="Z352">
        <v>10</v>
      </c>
    </row>
    <row r="353" spans="1:26" x14ac:dyDescent="0.3">
      <c r="A353">
        <v>57</v>
      </c>
      <c r="B353">
        <v>150</v>
      </c>
      <c r="C353" t="s">
        <v>26</v>
      </c>
      <c r="D353">
        <v>6.0387000000000004</v>
      </c>
      <c r="E353">
        <v>16.559999999999999</v>
      </c>
      <c r="F353">
        <v>12.95</v>
      </c>
      <c r="G353">
        <v>70.64</v>
      </c>
      <c r="H353">
        <v>0.83</v>
      </c>
      <c r="I353">
        <v>11</v>
      </c>
      <c r="J353">
        <v>327.95</v>
      </c>
      <c r="K353">
        <v>61.82</v>
      </c>
      <c r="L353">
        <v>15.25</v>
      </c>
      <c r="M353">
        <v>9</v>
      </c>
      <c r="N353">
        <v>100.88</v>
      </c>
      <c r="O353">
        <v>40681.39</v>
      </c>
      <c r="P353">
        <v>205.79</v>
      </c>
      <c r="Q353">
        <v>988.09</v>
      </c>
      <c r="R353">
        <v>43.99</v>
      </c>
      <c r="S353">
        <v>35.43</v>
      </c>
      <c r="T353">
        <v>3252.45</v>
      </c>
      <c r="U353">
        <v>0.81</v>
      </c>
      <c r="V353">
        <v>0.88</v>
      </c>
      <c r="W353">
        <v>2.98</v>
      </c>
      <c r="X353">
        <v>0.2</v>
      </c>
      <c r="Y353">
        <v>1</v>
      </c>
      <c r="Z353">
        <v>10</v>
      </c>
    </row>
    <row r="354" spans="1:26" x14ac:dyDescent="0.3">
      <c r="A354">
        <v>58</v>
      </c>
      <c r="B354">
        <v>150</v>
      </c>
      <c r="C354" t="s">
        <v>26</v>
      </c>
      <c r="D354">
        <v>6.0374999999999996</v>
      </c>
      <c r="E354">
        <v>16.559999999999999</v>
      </c>
      <c r="F354">
        <v>12.95</v>
      </c>
      <c r="G354">
        <v>70.66</v>
      </c>
      <c r="H354">
        <v>0.84</v>
      </c>
      <c r="I354">
        <v>11</v>
      </c>
      <c r="J354">
        <v>328.53</v>
      </c>
      <c r="K354">
        <v>61.82</v>
      </c>
      <c r="L354">
        <v>15.5</v>
      </c>
      <c r="M354">
        <v>9</v>
      </c>
      <c r="N354">
        <v>101.21</v>
      </c>
      <c r="O354">
        <v>40753.199999999997</v>
      </c>
      <c r="P354">
        <v>205.58</v>
      </c>
      <c r="Q354">
        <v>988.12</v>
      </c>
      <c r="R354">
        <v>43.97</v>
      </c>
      <c r="S354">
        <v>35.43</v>
      </c>
      <c r="T354">
        <v>3240.97</v>
      </c>
      <c r="U354">
        <v>0.81</v>
      </c>
      <c r="V354">
        <v>0.88</v>
      </c>
      <c r="W354">
        <v>2.98</v>
      </c>
      <c r="X354">
        <v>0.2</v>
      </c>
      <c r="Y354">
        <v>1</v>
      </c>
      <c r="Z354">
        <v>10</v>
      </c>
    </row>
    <row r="355" spans="1:26" x14ac:dyDescent="0.3">
      <c r="A355">
        <v>59</v>
      </c>
      <c r="B355">
        <v>150</v>
      </c>
      <c r="C355" t="s">
        <v>26</v>
      </c>
      <c r="D355">
        <v>6.0395000000000003</v>
      </c>
      <c r="E355">
        <v>16.559999999999999</v>
      </c>
      <c r="F355">
        <v>12.95</v>
      </c>
      <c r="G355">
        <v>70.63</v>
      </c>
      <c r="H355">
        <v>0.85</v>
      </c>
      <c r="I355">
        <v>11</v>
      </c>
      <c r="J355">
        <v>329.12</v>
      </c>
      <c r="K355">
        <v>61.82</v>
      </c>
      <c r="L355">
        <v>15.75</v>
      </c>
      <c r="M355">
        <v>9</v>
      </c>
      <c r="N355">
        <v>101.54</v>
      </c>
      <c r="O355">
        <v>40825.160000000003</v>
      </c>
      <c r="P355">
        <v>204.3</v>
      </c>
      <c r="Q355">
        <v>988.08</v>
      </c>
      <c r="R355">
        <v>43.8</v>
      </c>
      <c r="S355">
        <v>35.43</v>
      </c>
      <c r="T355">
        <v>3156.9</v>
      </c>
      <c r="U355">
        <v>0.81</v>
      </c>
      <c r="V355">
        <v>0.88</v>
      </c>
      <c r="W355">
        <v>2.98</v>
      </c>
      <c r="X355">
        <v>0.2</v>
      </c>
      <c r="Y355">
        <v>1</v>
      </c>
      <c r="Z355">
        <v>10</v>
      </c>
    </row>
    <row r="356" spans="1:26" x14ac:dyDescent="0.3">
      <c r="A356">
        <v>60</v>
      </c>
      <c r="B356">
        <v>150</v>
      </c>
      <c r="C356" t="s">
        <v>26</v>
      </c>
      <c r="D356">
        <v>6.0395000000000003</v>
      </c>
      <c r="E356">
        <v>16.559999999999999</v>
      </c>
      <c r="F356">
        <v>12.95</v>
      </c>
      <c r="G356">
        <v>70.63</v>
      </c>
      <c r="H356">
        <v>0.86</v>
      </c>
      <c r="I356">
        <v>11</v>
      </c>
      <c r="J356">
        <v>329.7</v>
      </c>
      <c r="K356">
        <v>61.82</v>
      </c>
      <c r="L356">
        <v>16</v>
      </c>
      <c r="M356">
        <v>9</v>
      </c>
      <c r="N356">
        <v>101.88</v>
      </c>
      <c r="O356">
        <v>40897.29</v>
      </c>
      <c r="P356">
        <v>202.89</v>
      </c>
      <c r="Q356">
        <v>988.11</v>
      </c>
      <c r="R356">
        <v>43.83</v>
      </c>
      <c r="S356">
        <v>35.43</v>
      </c>
      <c r="T356">
        <v>3171.29</v>
      </c>
      <c r="U356">
        <v>0.81</v>
      </c>
      <c r="V356">
        <v>0.88</v>
      </c>
      <c r="W356">
        <v>2.98</v>
      </c>
      <c r="X356">
        <v>0.2</v>
      </c>
      <c r="Y356">
        <v>1</v>
      </c>
      <c r="Z356">
        <v>10</v>
      </c>
    </row>
    <row r="357" spans="1:26" x14ac:dyDescent="0.3">
      <c r="A357">
        <v>61</v>
      </c>
      <c r="B357">
        <v>150</v>
      </c>
      <c r="C357" t="s">
        <v>26</v>
      </c>
      <c r="D357">
        <v>6.0675999999999997</v>
      </c>
      <c r="E357">
        <v>16.48</v>
      </c>
      <c r="F357">
        <v>12.93</v>
      </c>
      <c r="G357">
        <v>77.569999999999993</v>
      </c>
      <c r="H357">
        <v>0.88</v>
      </c>
      <c r="I357">
        <v>10</v>
      </c>
      <c r="J357">
        <v>330.29</v>
      </c>
      <c r="K357">
        <v>61.82</v>
      </c>
      <c r="L357">
        <v>16.25</v>
      </c>
      <c r="M357">
        <v>8</v>
      </c>
      <c r="N357">
        <v>102.21</v>
      </c>
      <c r="O357">
        <v>40969.57</v>
      </c>
      <c r="P357">
        <v>202.03</v>
      </c>
      <c r="Q357">
        <v>988.08</v>
      </c>
      <c r="R357">
        <v>43.08</v>
      </c>
      <c r="S357">
        <v>35.43</v>
      </c>
      <c r="T357">
        <v>2799.98</v>
      </c>
      <c r="U357">
        <v>0.82</v>
      </c>
      <c r="V357">
        <v>0.88</v>
      </c>
      <c r="W357">
        <v>2.98</v>
      </c>
      <c r="X357">
        <v>0.17</v>
      </c>
      <c r="Y357">
        <v>1</v>
      </c>
      <c r="Z357">
        <v>10</v>
      </c>
    </row>
    <row r="358" spans="1:26" x14ac:dyDescent="0.3">
      <c r="A358">
        <v>62</v>
      </c>
      <c r="B358">
        <v>150</v>
      </c>
      <c r="C358" t="s">
        <v>26</v>
      </c>
      <c r="D358">
        <v>6.0667</v>
      </c>
      <c r="E358">
        <v>16.48</v>
      </c>
      <c r="F358">
        <v>12.93</v>
      </c>
      <c r="G358">
        <v>77.58</v>
      </c>
      <c r="H358">
        <v>0.89</v>
      </c>
      <c r="I358">
        <v>10</v>
      </c>
      <c r="J358">
        <v>330.87</v>
      </c>
      <c r="K358">
        <v>61.82</v>
      </c>
      <c r="L358">
        <v>16.5</v>
      </c>
      <c r="M358">
        <v>8</v>
      </c>
      <c r="N358">
        <v>102.55</v>
      </c>
      <c r="O358">
        <v>41042.019999999997</v>
      </c>
      <c r="P358">
        <v>201.3</v>
      </c>
      <c r="Q358">
        <v>988.12</v>
      </c>
      <c r="R358">
        <v>43.32</v>
      </c>
      <c r="S358">
        <v>35.43</v>
      </c>
      <c r="T358">
        <v>2923.35</v>
      </c>
      <c r="U358">
        <v>0.82</v>
      </c>
      <c r="V358">
        <v>0.88</v>
      </c>
      <c r="W358">
        <v>2.98</v>
      </c>
      <c r="X358">
        <v>0.18</v>
      </c>
      <c r="Y358">
        <v>1</v>
      </c>
      <c r="Z358">
        <v>10</v>
      </c>
    </row>
    <row r="359" spans="1:26" x14ac:dyDescent="0.3">
      <c r="A359">
        <v>63</v>
      </c>
      <c r="B359">
        <v>150</v>
      </c>
      <c r="C359" t="s">
        <v>26</v>
      </c>
      <c r="D359">
        <v>6.0671999999999997</v>
      </c>
      <c r="E359">
        <v>16.48</v>
      </c>
      <c r="F359">
        <v>12.93</v>
      </c>
      <c r="G359">
        <v>77.58</v>
      </c>
      <c r="H359">
        <v>0.9</v>
      </c>
      <c r="I359">
        <v>10</v>
      </c>
      <c r="J359">
        <v>331.46</v>
      </c>
      <c r="K359">
        <v>61.82</v>
      </c>
      <c r="L359">
        <v>16.75</v>
      </c>
      <c r="M359">
        <v>8</v>
      </c>
      <c r="N359">
        <v>102.89</v>
      </c>
      <c r="O359">
        <v>41114.629999999997</v>
      </c>
      <c r="P359">
        <v>200.57</v>
      </c>
      <c r="Q359">
        <v>988.08</v>
      </c>
      <c r="R359">
        <v>43.2</v>
      </c>
      <c r="S359">
        <v>35.43</v>
      </c>
      <c r="T359">
        <v>2862.67</v>
      </c>
      <c r="U359">
        <v>0.82</v>
      </c>
      <c r="V359">
        <v>0.88</v>
      </c>
      <c r="W359">
        <v>2.98</v>
      </c>
      <c r="X359">
        <v>0.18</v>
      </c>
      <c r="Y359">
        <v>1</v>
      </c>
      <c r="Z359">
        <v>10</v>
      </c>
    </row>
    <row r="360" spans="1:26" x14ac:dyDescent="0.3">
      <c r="A360">
        <v>64</v>
      </c>
      <c r="B360">
        <v>150</v>
      </c>
      <c r="C360" t="s">
        <v>26</v>
      </c>
      <c r="D360">
        <v>6.0666000000000002</v>
      </c>
      <c r="E360">
        <v>16.48</v>
      </c>
      <c r="F360">
        <v>12.93</v>
      </c>
      <c r="G360">
        <v>77.59</v>
      </c>
      <c r="H360">
        <v>0.91</v>
      </c>
      <c r="I360">
        <v>10</v>
      </c>
      <c r="J360">
        <v>332.05</v>
      </c>
      <c r="K360">
        <v>61.82</v>
      </c>
      <c r="L360">
        <v>17</v>
      </c>
      <c r="M360">
        <v>8</v>
      </c>
      <c r="N360">
        <v>103.23</v>
      </c>
      <c r="O360">
        <v>41187.410000000003</v>
      </c>
      <c r="P360">
        <v>200.71</v>
      </c>
      <c r="Q360">
        <v>988.1</v>
      </c>
      <c r="R360">
        <v>43.16</v>
      </c>
      <c r="S360">
        <v>35.43</v>
      </c>
      <c r="T360">
        <v>2842.71</v>
      </c>
      <c r="U360">
        <v>0.82</v>
      </c>
      <c r="V360">
        <v>0.88</v>
      </c>
      <c r="W360">
        <v>2.98</v>
      </c>
      <c r="X360">
        <v>0.18</v>
      </c>
      <c r="Y360">
        <v>1</v>
      </c>
      <c r="Z360">
        <v>10</v>
      </c>
    </row>
    <row r="361" spans="1:26" x14ac:dyDescent="0.3">
      <c r="A361">
        <v>65</v>
      </c>
      <c r="B361">
        <v>150</v>
      </c>
      <c r="C361" t="s">
        <v>26</v>
      </c>
      <c r="D361">
        <v>6.0663</v>
      </c>
      <c r="E361">
        <v>16.48</v>
      </c>
      <c r="F361">
        <v>12.93</v>
      </c>
      <c r="G361">
        <v>77.59</v>
      </c>
      <c r="H361">
        <v>0.92</v>
      </c>
      <c r="I361">
        <v>10</v>
      </c>
      <c r="J361">
        <v>332.64</v>
      </c>
      <c r="K361">
        <v>61.82</v>
      </c>
      <c r="L361">
        <v>17.25</v>
      </c>
      <c r="M361">
        <v>8</v>
      </c>
      <c r="N361">
        <v>103.57</v>
      </c>
      <c r="O361">
        <v>41260.35</v>
      </c>
      <c r="P361">
        <v>200.19</v>
      </c>
      <c r="Q361">
        <v>988.08</v>
      </c>
      <c r="R361">
        <v>43.26</v>
      </c>
      <c r="S361">
        <v>35.43</v>
      </c>
      <c r="T361">
        <v>2891.21</v>
      </c>
      <c r="U361">
        <v>0.82</v>
      </c>
      <c r="V361">
        <v>0.88</v>
      </c>
      <c r="W361">
        <v>2.98</v>
      </c>
      <c r="X361">
        <v>0.18</v>
      </c>
      <c r="Y361">
        <v>1</v>
      </c>
      <c r="Z361">
        <v>10</v>
      </c>
    </row>
    <row r="362" spans="1:26" x14ac:dyDescent="0.3">
      <c r="A362">
        <v>66</v>
      </c>
      <c r="B362">
        <v>150</v>
      </c>
      <c r="C362" t="s">
        <v>26</v>
      </c>
      <c r="D362">
        <v>6.0682</v>
      </c>
      <c r="E362">
        <v>16.48</v>
      </c>
      <c r="F362">
        <v>12.93</v>
      </c>
      <c r="G362">
        <v>77.56</v>
      </c>
      <c r="H362">
        <v>0.94</v>
      </c>
      <c r="I362">
        <v>10</v>
      </c>
      <c r="J362">
        <v>333.24</v>
      </c>
      <c r="K362">
        <v>61.82</v>
      </c>
      <c r="L362">
        <v>17.5</v>
      </c>
      <c r="M362">
        <v>8</v>
      </c>
      <c r="N362">
        <v>103.92</v>
      </c>
      <c r="O362">
        <v>41333.46</v>
      </c>
      <c r="P362">
        <v>199.37</v>
      </c>
      <c r="Q362">
        <v>988.08</v>
      </c>
      <c r="R362">
        <v>43.2</v>
      </c>
      <c r="S362">
        <v>35.43</v>
      </c>
      <c r="T362">
        <v>2860.4</v>
      </c>
      <c r="U362">
        <v>0.82</v>
      </c>
      <c r="V362">
        <v>0.88</v>
      </c>
      <c r="W362">
        <v>2.98</v>
      </c>
      <c r="X362">
        <v>0.17</v>
      </c>
      <c r="Y362">
        <v>1</v>
      </c>
      <c r="Z362">
        <v>10</v>
      </c>
    </row>
    <row r="363" spans="1:26" x14ac:dyDescent="0.3">
      <c r="A363">
        <v>67</v>
      </c>
      <c r="B363">
        <v>150</v>
      </c>
      <c r="C363" t="s">
        <v>26</v>
      </c>
      <c r="D363">
        <v>6.0918999999999999</v>
      </c>
      <c r="E363">
        <v>16.420000000000002</v>
      </c>
      <c r="F363">
        <v>12.92</v>
      </c>
      <c r="G363">
        <v>86.12</v>
      </c>
      <c r="H363">
        <v>0.95</v>
      </c>
      <c r="I363">
        <v>9</v>
      </c>
      <c r="J363">
        <v>333.83</v>
      </c>
      <c r="K363">
        <v>61.82</v>
      </c>
      <c r="L363">
        <v>17.75</v>
      </c>
      <c r="M363">
        <v>7</v>
      </c>
      <c r="N363">
        <v>104.26</v>
      </c>
      <c r="O363">
        <v>41406.86</v>
      </c>
      <c r="P363">
        <v>197.66</v>
      </c>
      <c r="Q363">
        <v>988.09</v>
      </c>
      <c r="R363">
        <v>42.78</v>
      </c>
      <c r="S363">
        <v>35.43</v>
      </c>
      <c r="T363">
        <v>2656.69</v>
      </c>
      <c r="U363">
        <v>0.83</v>
      </c>
      <c r="V363">
        <v>0.88</v>
      </c>
      <c r="W363">
        <v>2.98</v>
      </c>
      <c r="X363">
        <v>0.16</v>
      </c>
      <c r="Y363">
        <v>1</v>
      </c>
      <c r="Z363">
        <v>10</v>
      </c>
    </row>
    <row r="364" spans="1:26" x14ac:dyDescent="0.3">
      <c r="A364">
        <v>68</v>
      </c>
      <c r="B364">
        <v>150</v>
      </c>
      <c r="C364" t="s">
        <v>26</v>
      </c>
      <c r="D364">
        <v>6.093</v>
      </c>
      <c r="E364">
        <v>16.41</v>
      </c>
      <c r="F364">
        <v>12.91</v>
      </c>
      <c r="G364">
        <v>86.1</v>
      </c>
      <c r="H364">
        <v>0.96</v>
      </c>
      <c r="I364">
        <v>9</v>
      </c>
      <c r="J364">
        <v>334.43</v>
      </c>
      <c r="K364">
        <v>61.82</v>
      </c>
      <c r="L364">
        <v>18</v>
      </c>
      <c r="M364">
        <v>7</v>
      </c>
      <c r="N364">
        <v>104.61</v>
      </c>
      <c r="O364">
        <v>41480.31</v>
      </c>
      <c r="P364">
        <v>197.82</v>
      </c>
      <c r="Q364">
        <v>988.08</v>
      </c>
      <c r="R364">
        <v>42.76</v>
      </c>
      <c r="S364">
        <v>35.43</v>
      </c>
      <c r="T364">
        <v>2644.49</v>
      </c>
      <c r="U364">
        <v>0.83</v>
      </c>
      <c r="V364">
        <v>0.88</v>
      </c>
      <c r="W364">
        <v>2.98</v>
      </c>
      <c r="X364">
        <v>0.16</v>
      </c>
      <c r="Y364">
        <v>1</v>
      </c>
      <c r="Z364">
        <v>10</v>
      </c>
    </row>
    <row r="365" spans="1:26" x14ac:dyDescent="0.3">
      <c r="A365">
        <v>69</v>
      </c>
      <c r="B365">
        <v>150</v>
      </c>
      <c r="C365" t="s">
        <v>26</v>
      </c>
      <c r="D365">
        <v>6.0929000000000002</v>
      </c>
      <c r="E365">
        <v>16.41</v>
      </c>
      <c r="F365">
        <v>12.92</v>
      </c>
      <c r="G365">
        <v>86.1</v>
      </c>
      <c r="H365">
        <v>0.97</v>
      </c>
      <c r="I365">
        <v>9</v>
      </c>
      <c r="J365">
        <v>335.02</v>
      </c>
      <c r="K365">
        <v>61.82</v>
      </c>
      <c r="L365">
        <v>18.25</v>
      </c>
      <c r="M365">
        <v>7</v>
      </c>
      <c r="N365">
        <v>104.95</v>
      </c>
      <c r="O365">
        <v>41553.93</v>
      </c>
      <c r="P365">
        <v>197.98</v>
      </c>
      <c r="Q365">
        <v>988.21</v>
      </c>
      <c r="R365">
        <v>42.77</v>
      </c>
      <c r="S365">
        <v>35.43</v>
      </c>
      <c r="T365">
        <v>2651.4</v>
      </c>
      <c r="U365">
        <v>0.83</v>
      </c>
      <c r="V365">
        <v>0.88</v>
      </c>
      <c r="W365">
        <v>2.98</v>
      </c>
      <c r="X365">
        <v>0.16</v>
      </c>
      <c r="Y365">
        <v>1</v>
      </c>
      <c r="Z365">
        <v>10</v>
      </c>
    </row>
    <row r="366" spans="1:26" x14ac:dyDescent="0.3">
      <c r="A366">
        <v>70</v>
      </c>
      <c r="B366">
        <v>150</v>
      </c>
      <c r="C366" t="s">
        <v>26</v>
      </c>
      <c r="D366">
        <v>6.0922999999999998</v>
      </c>
      <c r="E366">
        <v>16.41</v>
      </c>
      <c r="F366">
        <v>12.92</v>
      </c>
      <c r="G366">
        <v>86.11</v>
      </c>
      <c r="H366">
        <v>0.98</v>
      </c>
      <c r="I366">
        <v>9</v>
      </c>
      <c r="J366">
        <v>335.62</v>
      </c>
      <c r="K366">
        <v>61.82</v>
      </c>
      <c r="L366">
        <v>18.5</v>
      </c>
      <c r="M366">
        <v>7</v>
      </c>
      <c r="N366">
        <v>105.3</v>
      </c>
      <c r="O366">
        <v>41627.72</v>
      </c>
      <c r="P366">
        <v>198.01</v>
      </c>
      <c r="Q366">
        <v>988.17</v>
      </c>
      <c r="R366">
        <v>42.83</v>
      </c>
      <c r="S366">
        <v>35.43</v>
      </c>
      <c r="T366">
        <v>2683.28</v>
      </c>
      <c r="U366">
        <v>0.83</v>
      </c>
      <c r="V366">
        <v>0.88</v>
      </c>
      <c r="W366">
        <v>2.98</v>
      </c>
      <c r="X366">
        <v>0.16</v>
      </c>
      <c r="Y366">
        <v>1</v>
      </c>
      <c r="Z366">
        <v>10</v>
      </c>
    </row>
    <row r="367" spans="1:26" x14ac:dyDescent="0.3">
      <c r="A367">
        <v>71</v>
      </c>
      <c r="B367">
        <v>150</v>
      </c>
      <c r="C367" t="s">
        <v>26</v>
      </c>
      <c r="D367">
        <v>6.0941999999999998</v>
      </c>
      <c r="E367">
        <v>16.41</v>
      </c>
      <c r="F367">
        <v>12.91</v>
      </c>
      <c r="G367">
        <v>86.08</v>
      </c>
      <c r="H367">
        <v>0.99</v>
      </c>
      <c r="I367">
        <v>9</v>
      </c>
      <c r="J367">
        <v>336.22</v>
      </c>
      <c r="K367">
        <v>61.82</v>
      </c>
      <c r="L367">
        <v>18.75</v>
      </c>
      <c r="M367">
        <v>7</v>
      </c>
      <c r="N367">
        <v>105.65</v>
      </c>
      <c r="O367">
        <v>41701.68</v>
      </c>
      <c r="P367">
        <v>197.36</v>
      </c>
      <c r="Q367">
        <v>988.12</v>
      </c>
      <c r="R367">
        <v>42.77</v>
      </c>
      <c r="S367">
        <v>35.43</v>
      </c>
      <c r="T367">
        <v>2648.98</v>
      </c>
      <c r="U367">
        <v>0.83</v>
      </c>
      <c r="V367">
        <v>0.88</v>
      </c>
      <c r="W367">
        <v>2.98</v>
      </c>
      <c r="X367">
        <v>0.16</v>
      </c>
      <c r="Y367">
        <v>1</v>
      </c>
      <c r="Z367">
        <v>10</v>
      </c>
    </row>
    <row r="368" spans="1:26" x14ac:dyDescent="0.3">
      <c r="A368">
        <v>72</v>
      </c>
      <c r="B368">
        <v>150</v>
      </c>
      <c r="C368" t="s">
        <v>26</v>
      </c>
      <c r="D368">
        <v>6.0960000000000001</v>
      </c>
      <c r="E368">
        <v>16.399999999999999</v>
      </c>
      <c r="F368">
        <v>12.91</v>
      </c>
      <c r="G368">
        <v>86.05</v>
      </c>
      <c r="H368">
        <v>1.01</v>
      </c>
      <c r="I368">
        <v>9</v>
      </c>
      <c r="J368">
        <v>336.82</v>
      </c>
      <c r="K368">
        <v>61.82</v>
      </c>
      <c r="L368">
        <v>19</v>
      </c>
      <c r="M368">
        <v>7</v>
      </c>
      <c r="N368">
        <v>106</v>
      </c>
      <c r="O368">
        <v>41775.82</v>
      </c>
      <c r="P368">
        <v>196.54</v>
      </c>
      <c r="Q368">
        <v>988.08</v>
      </c>
      <c r="R368">
        <v>42.53</v>
      </c>
      <c r="S368">
        <v>35.43</v>
      </c>
      <c r="T368">
        <v>2530.85</v>
      </c>
      <c r="U368">
        <v>0.83</v>
      </c>
      <c r="V368">
        <v>0.88</v>
      </c>
      <c r="W368">
        <v>2.98</v>
      </c>
      <c r="X368">
        <v>0.15</v>
      </c>
      <c r="Y368">
        <v>1</v>
      </c>
      <c r="Z368">
        <v>10</v>
      </c>
    </row>
    <row r="369" spans="1:26" x14ac:dyDescent="0.3">
      <c r="A369">
        <v>73</v>
      </c>
      <c r="B369">
        <v>150</v>
      </c>
      <c r="C369" t="s">
        <v>26</v>
      </c>
      <c r="D369">
        <v>6.0933000000000002</v>
      </c>
      <c r="E369">
        <v>16.41</v>
      </c>
      <c r="F369">
        <v>12.91</v>
      </c>
      <c r="G369">
        <v>86.09</v>
      </c>
      <c r="H369">
        <v>1.02</v>
      </c>
      <c r="I369">
        <v>9</v>
      </c>
      <c r="J369">
        <v>337.43</v>
      </c>
      <c r="K369">
        <v>61.82</v>
      </c>
      <c r="L369">
        <v>19.25</v>
      </c>
      <c r="M369">
        <v>7</v>
      </c>
      <c r="N369">
        <v>106.35</v>
      </c>
      <c r="O369">
        <v>41850.129999999997</v>
      </c>
      <c r="P369">
        <v>194.82</v>
      </c>
      <c r="Q369">
        <v>988.21</v>
      </c>
      <c r="R369">
        <v>42.74</v>
      </c>
      <c r="S369">
        <v>35.43</v>
      </c>
      <c r="T369">
        <v>2633.85</v>
      </c>
      <c r="U369">
        <v>0.83</v>
      </c>
      <c r="V369">
        <v>0.88</v>
      </c>
      <c r="W369">
        <v>2.98</v>
      </c>
      <c r="X369">
        <v>0.16</v>
      </c>
      <c r="Y369">
        <v>1</v>
      </c>
      <c r="Z369">
        <v>10</v>
      </c>
    </row>
    <row r="370" spans="1:26" x14ac:dyDescent="0.3">
      <c r="A370">
        <v>74</v>
      </c>
      <c r="B370">
        <v>150</v>
      </c>
      <c r="C370" t="s">
        <v>26</v>
      </c>
      <c r="D370">
        <v>6.0930999999999997</v>
      </c>
      <c r="E370">
        <v>16.41</v>
      </c>
      <c r="F370">
        <v>12.91</v>
      </c>
      <c r="G370">
        <v>86.1</v>
      </c>
      <c r="H370">
        <v>1.03</v>
      </c>
      <c r="I370">
        <v>9</v>
      </c>
      <c r="J370">
        <v>338.03</v>
      </c>
      <c r="K370">
        <v>61.82</v>
      </c>
      <c r="L370">
        <v>19.5</v>
      </c>
      <c r="M370">
        <v>7</v>
      </c>
      <c r="N370">
        <v>106.71</v>
      </c>
      <c r="O370">
        <v>41924.620000000003</v>
      </c>
      <c r="P370">
        <v>193.78</v>
      </c>
      <c r="Q370">
        <v>988.09</v>
      </c>
      <c r="R370">
        <v>42.81</v>
      </c>
      <c r="S370">
        <v>35.43</v>
      </c>
      <c r="T370">
        <v>2670.2</v>
      </c>
      <c r="U370">
        <v>0.83</v>
      </c>
      <c r="V370">
        <v>0.88</v>
      </c>
      <c r="W370">
        <v>2.98</v>
      </c>
      <c r="X370">
        <v>0.16</v>
      </c>
      <c r="Y370">
        <v>1</v>
      </c>
      <c r="Z370">
        <v>10</v>
      </c>
    </row>
    <row r="371" spans="1:26" x14ac:dyDescent="0.3">
      <c r="A371">
        <v>75</v>
      </c>
      <c r="B371">
        <v>150</v>
      </c>
      <c r="C371" t="s">
        <v>26</v>
      </c>
      <c r="D371">
        <v>6.1208</v>
      </c>
      <c r="E371">
        <v>16.34</v>
      </c>
      <c r="F371">
        <v>12.9</v>
      </c>
      <c r="G371">
        <v>96.72</v>
      </c>
      <c r="H371">
        <v>1.04</v>
      </c>
      <c r="I371">
        <v>8</v>
      </c>
      <c r="J371">
        <v>338.63</v>
      </c>
      <c r="K371">
        <v>61.82</v>
      </c>
      <c r="L371">
        <v>19.75</v>
      </c>
      <c r="M371">
        <v>4</v>
      </c>
      <c r="N371">
        <v>107.06</v>
      </c>
      <c r="O371">
        <v>41999.28</v>
      </c>
      <c r="P371">
        <v>192.34</v>
      </c>
      <c r="Q371">
        <v>988.09</v>
      </c>
      <c r="R371">
        <v>42.19</v>
      </c>
      <c r="S371">
        <v>35.43</v>
      </c>
      <c r="T371">
        <v>2364.75</v>
      </c>
      <c r="U371">
        <v>0.84</v>
      </c>
      <c r="V371">
        <v>0.88</v>
      </c>
      <c r="W371">
        <v>2.98</v>
      </c>
      <c r="X371">
        <v>0.14000000000000001</v>
      </c>
      <c r="Y371">
        <v>1</v>
      </c>
      <c r="Z371">
        <v>10</v>
      </c>
    </row>
    <row r="372" spans="1:26" x14ac:dyDescent="0.3">
      <c r="A372">
        <v>76</v>
      </c>
      <c r="B372">
        <v>150</v>
      </c>
      <c r="C372" t="s">
        <v>26</v>
      </c>
      <c r="D372">
        <v>6.12</v>
      </c>
      <c r="E372">
        <v>16.34</v>
      </c>
      <c r="F372">
        <v>12.9</v>
      </c>
      <c r="G372">
        <v>96.74</v>
      </c>
      <c r="H372">
        <v>1.05</v>
      </c>
      <c r="I372">
        <v>8</v>
      </c>
      <c r="J372">
        <v>339.24</v>
      </c>
      <c r="K372">
        <v>61.82</v>
      </c>
      <c r="L372">
        <v>20</v>
      </c>
      <c r="M372">
        <v>4</v>
      </c>
      <c r="N372">
        <v>107.42</v>
      </c>
      <c r="O372">
        <v>42074.12</v>
      </c>
      <c r="P372">
        <v>192.58</v>
      </c>
      <c r="Q372">
        <v>988.08</v>
      </c>
      <c r="R372">
        <v>42.21</v>
      </c>
      <c r="S372">
        <v>35.43</v>
      </c>
      <c r="T372">
        <v>2378.33</v>
      </c>
      <c r="U372">
        <v>0.84</v>
      </c>
      <c r="V372">
        <v>0.88</v>
      </c>
      <c r="W372">
        <v>2.98</v>
      </c>
      <c r="X372">
        <v>0.14000000000000001</v>
      </c>
      <c r="Y372">
        <v>1</v>
      </c>
      <c r="Z372">
        <v>10</v>
      </c>
    </row>
    <row r="373" spans="1:26" x14ac:dyDescent="0.3">
      <c r="A373">
        <v>77</v>
      </c>
      <c r="B373">
        <v>150</v>
      </c>
      <c r="C373" t="s">
        <v>26</v>
      </c>
      <c r="D373">
        <v>6.1230000000000002</v>
      </c>
      <c r="E373">
        <v>16.329999999999998</v>
      </c>
      <c r="F373">
        <v>12.89</v>
      </c>
      <c r="G373">
        <v>96.68</v>
      </c>
      <c r="H373">
        <v>1.06</v>
      </c>
      <c r="I373">
        <v>8</v>
      </c>
      <c r="J373">
        <v>339.85</v>
      </c>
      <c r="K373">
        <v>61.82</v>
      </c>
      <c r="L373">
        <v>20.25</v>
      </c>
      <c r="M373">
        <v>3</v>
      </c>
      <c r="N373">
        <v>107.78</v>
      </c>
      <c r="O373">
        <v>42149.15</v>
      </c>
      <c r="P373">
        <v>192.61</v>
      </c>
      <c r="Q373">
        <v>988.13</v>
      </c>
      <c r="R373">
        <v>41.98</v>
      </c>
      <c r="S373">
        <v>35.43</v>
      </c>
      <c r="T373">
        <v>2262.67</v>
      </c>
      <c r="U373">
        <v>0.84</v>
      </c>
      <c r="V373">
        <v>0.88</v>
      </c>
      <c r="W373">
        <v>2.98</v>
      </c>
      <c r="X373">
        <v>0.14000000000000001</v>
      </c>
      <c r="Y373">
        <v>1</v>
      </c>
      <c r="Z373">
        <v>10</v>
      </c>
    </row>
    <row r="374" spans="1:26" x14ac:dyDescent="0.3">
      <c r="A374">
        <v>78</v>
      </c>
      <c r="B374">
        <v>150</v>
      </c>
      <c r="C374" t="s">
        <v>26</v>
      </c>
      <c r="D374">
        <v>6.1200999999999999</v>
      </c>
      <c r="E374">
        <v>16.34</v>
      </c>
      <c r="F374">
        <v>12.9</v>
      </c>
      <c r="G374">
        <v>96.74</v>
      </c>
      <c r="H374">
        <v>1.07</v>
      </c>
      <c r="I374">
        <v>8</v>
      </c>
      <c r="J374">
        <v>340.46</v>
      </c>
      <c r="K374">
        <v>61.82</v>
      </c>
      <c r="L374">
        <v>20.5</v>
      </c>
      <c r="M374">
        <v>3</v>
      </c>
      <c r="N374">
        <v>108.14</v>
      </c>
      <c r="O374">
        <v>42224.35</v>
      </c>
      <c r="P374">
        <v>193.12</v>
      </c>
      <c r="Q374">
        <v>988.13</v>
      </c>
      <c r="R374">
        <v>42.16</v>
      </c>
      <c r="S374">
        <v>35.43</v>
      </c>
      <c r="T374">
        <v>2351.66</v>
      </c>
      <c r="U374">
        <v>0.84</v>
      </c>
      <c r="V374">
        <v>0.88</v>
      </c>
      <c r="W374">
        <v>2.98</v>
      </c>
      <c r="X374">
        <v>0.14000000000000001</v>
      </c>
      <c r="Y374">
        <v>1</v>
      </c>
      <c r="Z374">
        <v>10</v>
      </c>
    </row>
    <row r="375" spans="1:26" x14ac:dyDescent="0.3">
      <c r="A375">
        <v>79</v>
      </c>
      <c r="B375">
        <v>150</v>
      </c>
      <c r="C375" t="s">
        <v>26</v>
      </c>
      <c r="D375">
        <v>6.1204000000000001</v>
      </c>
      <c r="E375">
        <v>16.34</v>
      </c>
      <c r="F375">
        <v>12.9</v>
      </c>
      <c r="G375">
        <v>96.73</v>
      </c>
      <c r="H375">
        <v>1.08</v>
      </c>
      <c r="I375">
        <v>8</v>
      </c>
      <c r="J375">
        <v>341.07</v>
      </c>
      <c r="K375">
        <v>61.82</v>
      </c>
      <c r="L375">
        <v>20.75</v>
      </c>
      <c r="M375">
        <v>2</v>
      </c>
      <c r="N375">
        <v>108.5</v>
      </c>
      <c r="O375">
        <v>42299.74</v>
      </c>
      <c r="P375">
        <v>193.13</v>
      </c>
      <c r="Q375">
        <v>988.13</v>
      </c>
      <c r="R375">
        <v>42.12</v>
      </c>
      <c r="S375">
        <v>35.43</v>
      </c>
      <c r="T375">
        <v>2330.0100000000002</v>
      </c>
      <c r="U375">
        <v>0.84</v>
      </c>
      <c r="V375">
        <v>0.88</v>
      </c>
      <c r="W375">
        <v>2.98</v>
      </c>
      <c r="X375">
        <v>0.14000000000000001</v>
      </c>
      <c r="Y375">
        <v>1</v>
      </c>
      <c r="Z375">
        <v>10</v>
      </c>
    </row>
    <row r="376" spans="1:26" x14ac:dyDescent="0.3">
      <c r="A376">
        <v>80</v>
      </c>
      <c r="B376">
        <v>150</v>
      </c>
      <c r="C376" t="s">
        <v>26</v>
      </c>
      <c r="D376">
        <v>6.1212</v>
      </c>
      <c r="E376">
        <v>16.34</v>
      </c>
      <c r="F376">
        <v>12.89</v>
      </c>
      <c r="G376">
        <v>96.71</v>
      </c>
      <c r="H376">
        <v>1.1000000000000001</v>
      </c>
      <c r="I376">
        <v>8</v>
      </c>
      <c r="J376">
        <v>341.68</v>
      </c>
      <c r="K376">
        <v>61.82</v>
      </c>
      <c r="L376">
        <v>21</v>
      </c>
      <c r="M376">
        <v>1</v>
      </c>
      <c r="N376">
        <v>108.86</v>
      </c>
      <c r="O376">
        <v>42375.31</v>
      </c>
      <c r="P376">
        <v>193.3</v>
      </c>
      <c r="Q376">
        <v>988.14</v>
      </c>
      <c r="R376">
        <v>42.05</v>
      </c>
      <c r="S376">
        <v>35.43</v>
      </c>
      <c r="T376">
        <v>2297.6999999999998</v>
      </c>
      <c r="U376">
        <v>0.84</v>
      </c>
      <c r="V376">
        <v>0.88</v>
      </c>
      <c r="W376">
        <v>2.98</v>
      </c>
      <c r="X376">
        <v>0.14000000000000001</v>
      </c>
      <c r="Y376">
        <v>1</v>
      </c>
      <c r="Z376">
        <v>10</v>
      </c>
    </row>
    <row r="377" spans="1:26" x14ac:dyDescent="0.3">
      <c r="A377">
        <v>81</v>
      </c>
      <c r="B377">
        <v>150</v>
      </c>
      <c r="C377" t="s">
        <v>26</v>
      </c>
      <c r="D377">
        <v>6.1219000000000001</v>
      </c>
      <c r="E377">
        <v>16.329999999999998</v>
      </c>
      <c r="F377">
        <v>12.89</v>
      </c>
      <c r="G377">
        <v>96.7</v>
      </c>
      <c r="H377">
        <v>1.1100000000000001</v>
      </c>
      <c r="I377">
        <v>8</v>
      </c>
      <c r="J377">
        <v>342.3</v>
      </c>
      <c r="K377">
        <v>61.82</v>
      </c>
      <c r="L377">
        <v>21.25</v>
      </c>
      <c r="M377">
        <v>1</v>
      </c>
      <c r="N377">
        <v>109.23</v>
      </c>
      <c r="O377">
        <v>42451.07</v>
      </c>
      <c r="P377">
        <v>193.42</v>
      </c>
      <c r="Q377">
        <v>988.19</v>
      </c>
      <c r="R377">
        <v>41.89</v>
      </c>
      <c r="S377">
        <v>35.43</v>
      </c>
      <c r="T377">
        <v>2214.34</v>
      </c>
      <c r="U377">
        <v>0.85</v>
      </c>
      <c r="V377">
        <v>0.88</v>
      </c>
      <c r="W377">
        <v>2.98</v>
      </c>
      <c r="X377">
        <v>0.14000000000000001</v>
      </c>
      <c r="Y377">
        <v>1</v>
      </c>
      <c r="Z377">
        <v>10</v>
      </c>
    </row>
    <row r="378" spans="1:26" x14ac:dyDescent="0.3">
      <c r="A378">
        <v>82</v>
      </c>
      <c r="B378">
        <v>150</v>
      </c>
      <c r="C378" t="s">
        <v>26</v>
      </c>
      <c r="D378">
        <v>6.1220999999999997</v>
      </c>
      <c r="E378">
        <v>16.329999999999998</v>
      </c>
      <c r="F378">
        <v>12.89</v>
      </c>
      <c r="G378">
        <v>96.69</v>
      </c>
      <c r="H378">
        <v>1.1200000000000001</v>
      </c>
      <c r="I378">
        <v>8</v>
      </c>
      <c r="J378">
        <v>342.91</v>
      </c>
      <c r="K378">
        <v>61.82</v>
      </c>
      <c r="L378">
        <v>21.5</v>
      </c>
      <c r="M378">
        <v>1</v>
      </c>
      <c r="N378">
        <v>109.59</v>
      </c>
      <c r="O378">
        <v>42527.02</v>
      </c>
      <c r="P378">
        <v>193.64</v>
      </c>
      <c r="Q378">
        <v>988.13</v>
      </c>
      <c r="R378">
        <v>42.01</v>
      </c>
      <c r="S378">
        <v>35.43</v>
      </c>
      <c r="T378">
        <v>2277.27</v>
      </c>
      <c r="U378">
        <v>0.84</v>
      </c>
      <c r="V378">
        <v>0.88</v>
      </c>
      <c r="W378">
        <v>2.98</v>
      </c>
      <c r="X378">
        <v>0.14000000000000001</v>
      </c>
      <c r="Y378">
        <v>1</v>
      </c>
      <c r="Z378">
        <v>10</v>
      </c>
    </row>
    <row r="379" spans="1:26" x14ac:dyDescent="0.3">
      <c r="A379">
        <v>83</v>
      </c>
      <c r="B379">
        <v>150</v>
      </c>
      <c r="C379" t="s">
        <v>26</v>
      </c>
      <c r="D379">
        <v>6.1220999999999997</v>
      </c>
      <c r="E379">
        <v>16.329999999999998</v>
      </c>
      <c r="F379">
        <v>12.89</v>
      </c>
      <c r="G379">
        <v>96.69</v>
      </c>
      <c r="H379">
        <v>1.1299999999999999</v>
      </c>
      <c r="I379">
        <v>8</v>
      </c>
      <c r="J379">
        <v>343.53</v>
      </c>
      <c r="K379">
        <v>61.82</v>
      </c>
      <c r="L379">
        <v>21.75</v>
      </c>
      <c r="M379">
        <v>0</v>
      </c>
      <c r="N379">
        <v>109.96</v>
      </c>
      <c r="O379">
        <v>42603.15</v>
      </c>
      <c r="P379">
        <v>193.85</v>
      </c>
      <c r="Q379">
        <v>988.17</v>
      </c>
      <c r="R379">
        <v>41.83</v>
      </c>
      <c r="S379">
        <v>35.43</v>
      </c>
      <c r="T379">
        <v>2187.9699999999998</v>
      </c>
      <c r="U379">
        <v>0.85</v>
      </c>
      <c r="V379">
        <v>0.88</v>
      </c>
      <c r="W379">
        <v>2.98</v>
      </c>
      <c r="X379">
        <v>0.14000000000000001</v>
      </c>
      <c r="Y379">
        <v>1</v>
      </c>
      <c r="Z379">
        <v>10</v>
      </c>
    </row>
    <row r="380" spans="1:26" x14ac:dyDescent="0.3">
      <c r="A380">
        <v>0</v>
      </c>
      <c r="B380">
        <v>10</v>
      </c>
      <c r="C380" t="s">
        <v>26</v>
      </c>
      <c r="D380">
        <v>5.6848000000000001</v>
      </c>
      <c r="E380">
        <v>17.59</v>
      </c>
      <c r="F380">
        <v>14.83</v>
      </c>
      <c r="G380">
        <v>8.9</v>
      </c>
      <c r="H380">
        <v>0.64</v>
      </c>
      <c r="I380">
        <v>100</v>
      </c>
      <c r="J380">
        <v>26.11</v>
      </c>
      <c r="K380">
        <v>12.1</v>
      </c>
      <c r="L380">
        <v>1</v>
      </c>
      <c r="M380">
        <v>0</v>
      </c>
      <c r="N380">
        <v>3.01</v>
      </c>
      <c r="O380">
        <v>3454.41</v>
      </c>
      <c r="P380">
        <v>43.34</v>
      </c>
      <c r="Q380">
        <v>988.81</v>
      </c>
      <c r="R380">
        <v>98.39</v>
      </c>
      <c r="S380">
        <v>35.43</v>
      </c>
      <c r="T380">
        <v>30006.06</v>
      </c>
      <c r="U380">
        <v>0.36</v>
      </c>
      <c r="V380">
        <v>0.77</v>
      </c>
      <c r="W380">
        <v>3.25</v>
      </c>
      <c r="X380">
        <v>2.08</v>
      </c>
      <c r="Y380">
        <v>1</v>
      </c>
      <c r="Z380">
        <v>10</v>
      </c>
    </row>
    <row r="381" spans="1:26" x14ac:dyDescent="0.3">
      <c r="A381">
        <v>0</v>
      </c>
      <c r="B381">
        <v>45</v>
      </c>
      <c r="C381" t="s">
        <v>26</v>
      </c>
      <c r="D381">
        <v>5.4166999999999996</v>
      </c>
      <c r="E381">
        <v>18.46</v>
      </c>
      <c r="F381">
        <v>14.6</v>
      </c>
      <c r="G381">
        <v>9.6300000000000008</v>
      </c>
      <c r="H381">
        <v>0.18</v>
      </c>
      <c r="I381">
        <v>91</v>
      </c>
      <c r="J381">
        <v>98.71</v>
      </c>
      <c r="K381">
        <v>39.72</v>
      </c>
      <c r="L381">
        <v>1</v>
      </c>
      <c r="M381">
        <v>89</v>
      </c>
      <c r="N381">
        <v>12.99</v>
      </c>
      <c r="O381">
        <v>12407.75</v>
      </c>
      <c r="P381">
        <v>125.54</v>
      </c>
      <c r="Q381">
        <v>988.3</v>
      </c>
      <c r="R381">
        <v>94.92</v>
      </c>
      <c r="S381">
        <v>35.43</v>
      </c>
      <c r="T381">
        <v>28316.02</v>
      </c>
      <c r="U381">
        <v>0.37</v>
      </c>
      <c r="V381">
        <v>0.78</v>
      </c>
      <c r="W381">
        <v>3.12</v>
      </c>
      <c r="X381">
        <v>1.85</v>
      </c>
      <c r="Y381">
        <v>1</v>
      </c>
      <c r="Z381">
        <v>10</v>
      </c>
    </row>
    <row r="382" spans="1:26" x14ac:dyDescent="0.3">
      <c r="A382">
        <v>1</v>
      </c>
      <c r="B382">
        <v>45</v>
      </c>
      <c r="C382" t="s">
        <v>26</v>
      </c>
      <c r="D382">
        <v>5.6933999999999996</v>
      </c>
      <c r="E382">
        <v>17.559999999999999</v>
      </c>
      <c r="F382">
        <v>14.14</v>
      </c>
      <c r="G382">
        <v>12.12</v>
      </c>
      <c r="H382">
        <v>0.22</v>
      </c>
      <c r="I382">
        <v>70</v>
      </c>
      <c r="J382">
        <v>99.02</v>
      </c>
      <c r="K382">
        <v>39.72</v>
      </c>
      <c r="L382">
        <v>1.25</v>
      </c>
      <c r="M382">
        <v>68</v>
      </c>
      <c r="N382">
        <v>13.05</v>
      </c>
      <c r="O382">
        <v>12446.14</v>
      </c>
      <c r="P382">
        <v>119.29</v>
      </c>
      <c r="Q382">
        <v>988.36</v>
      </c>
      <c r="R382">
        <v>80.91</v>
      </c>
      <c r="S382">
        <v>35.43</v>
      </c>
      <c r="T382">
        <v>21413.759999999998</v>
      </c>
      <c r="U382">
        <v>0.44</v>
      </c>
      <c r="V382">
        <v>0.81</v>
      </c>
      <c r="W382">
        <v>3.07</v>
      </c>
      <c r="X382">
        <v>1.38</v>
      </c>
      <c r="Y382">
        <v>1</v>
      </c>
      <c r="Z382">
        <v>10</v>
      </c>
    </row>
    <row r="383" spans="1:26" x14ac:dyDescent="0.3">
      <c r="A383">
        <v>2</v>
      </c>
      <c r="B383">
        <v>45</v>
      </c>
      <c r="C383" t="s">
        <v>26</v>
      </c>
      <c r="D383">
        <v>5.8803000000000001</v>
      </c>
      <c r="E383">
        <v>17.010000000000002</v>
      </c>
      <c r="F383">
        <v>13.87</v>
      </c>
      <c r="G383">
        <v>14.86</v>
      </c>
      <c r="H383">
        <v>0.27</v>
      </c>
      <c r="I383">
        <v>56</v>
      </c>
      <c r="J383">
        <v>99.33</v>
      </c>
      <c r="K383">
        <v>39.72</v>
      </c>
      <c r="L383">
        <v>1.5</v>
      </c>
      <c r="M383">
        <v>54</v>
      </c>
      <c r="N383">
        <v>13.11</v>
      </c>
      <c r="O383">
        <v>12484.55</v>
      </c>
      <c r="P383">
        <v>114.56</v>
      </c>
      <c r="Q383">
        <v>988.37</v>
      </c>
      <c r="R383">
        <v>72.22</v>
      </c>
      <c r="S383">
        <v>35.43</v>
      </c>
      <c r="T383">
        <v>17142.38</v>
      </c>
      <c r="U383">
        <v>0.49</v>
      </c>
      <c r="V383">
        <v>0.82</v>
      </c>
      <c r="W383">
        <v>3.06</v>
      </c>
      <c r="X383">
        <v>1.1100000000000001</v>
      </c>
      <c r="Y383">
        <v>1</v>
      </c>
      <c r="Z383">
        <v>10</v>
      </c>
    </row>
    <row r="384" spans="1:26" x14ac:dyDescent="0.3">
      <c r="A384">
        <v>3</v>
      </c>
      <c r="B384">
        <v>45</v>
      </c>
      <c r="C384" t="s">
        <v>26</v>
      </c>
      <c r="D384">
        <v>6.0105000000000004</v>
      </c>
      <c r="E384">
        <v>16.64</v>
      </c>
      <c r="F384">
        <v>13.68</v>
      </c>
      <c r="G384">
        <v>17.47</v>
      </c>
      <c r="H384">
        <v>0.31</v>
      </c>
      <c r="I384">
        <v>47</v>
      </c>
      <c r="J384">
        <v>99.64</v>
      </c>
      <c r="K384">
        <v>39.72</v>
      </c>
      <c r="L384">
        <v>1.75</v>
      </c>
      <c r="M384">
        <v>45</v>
      </c>
      <c r="N384">
        <v>13.18</v>
      </c>
      <c r="O384">
        <v>12522.99</v>
      </c>
      <c r="P384">
        <v>110.85</v>
      </c>
      <c r="Q384">
        <v>988.14</v>
      </c>
      <c r="R384">
        <v>66.650000000000006</v>
      </c>
      <c r="S384">
        <v>35.43</v>
      </c>
      <c r="T384">
        <v>14399.68</v>
      </c>
      <c r="U384">
        <v>0.53</v>
      </c>
      <c r="V384">
        <v>0.83</v>
      </c>
      <c r="W384">
        <v>3.04</v>
      </c>
      <c r="X384">
        <v>0.93</v>
      </c>
      <c r="Y384">
        <v>1</v>
      </c>
      <c r="Z384">
        <v>10</v>
      </c>
    </row>
    <row r="385" spans="1:26" x14ac:dyDescent="0.3">
      <c r="A385">
        <v>4</v>
      </c>
      <c r="B385">
        <v>45</v>
      </c>
      <c r="C385" t="s">
        <v>26</v>
      </c>
      <c r="D385">
        <v>6.1166</v>
      </c>
      <c r="E385">
        <v>16.350000000000001</v>
      </c>
      <c r="F385">
        <v>13.54</v>
      </c>
      <c r="G385">
        <v>20.309999999999999</v>
      </c>
      <c r="H385">
        <v>0.35</v>
      </c>
      <c r="I385">
        <v>40</v>
      </c>
      <c r="J385">
        <v>99.95</v>
      </c>
      <c r="K385">
        <v>39.72</v>
      </c>
      <c r="L385">
        <v>2</v>
      </c>
      <c r="M385">
        <v>38</v>
      </c>
      <c r="N385">
        <v>13.24</v>
      </c>
      <c r="O385">
        <v>12561.45</v>
      </c>
      <c r="P385">
        <v>107.39</v>
      </c>
      <c r="Q385">
        <v>988.25</v>
      </c>
      <c r="R385">
        <v>61.92</v>
      </c>
      <c r="S385">
        <v>35.43</v>
      </c>
      <c r="T385">
        <v>12068.74</v>
      </c>
      <c r="U385">
        <v>0.56999999999999995</v>
      </c>
      <c r="V385">
        <v>0.84</v>
      </c>
      <c r="W385">
        <v>3.04</v>
      </c>
      <c r="X385">
        <v>0.78</v>
      </c>
      <c r="Y385">
        <v>1</v>
      </c>
      <c r="Z385">
        <v>10</v>
      </c>
    </row>
    <row r="386" spans="1:26" x14ac:dyDescent="0.3">
      <c r="A386">
        <v>5</v>
      </c>
      <c r="B386">
        <v>45</v>
      </c>
      <c r="C386" t="s">
        <v>26</v>
      </c>
      <c r="D386">
        <v>6.1893000000000002</v>
      </c>
      <c r="E386">
        <v>16.16</v>
      </c>
      <c r="F386">
        <v>13.45</v>
      </c>
      <c r="G386">
        <v>23.06</v>
      </c>
      <c r="H386">
        <v>0.39</v>
      </c>
      <c r="I386">
        <v>35</v>
      </c>
      <c r="J386">
        <v>100.27</v>
      </c>
      <c r="K386">
        <v>39.72</v>
      </c>
      <c r="L386">
        <v>2.25</v>
      </c>
      <c r="M386">
        <v>33</v>
      </c>
      <c r="N386">
        <v>13.3</v>
      </c>
      <c r="O386">
        <v>12599.94</v>
      </c>
      <c r="P386">
        <v>104.17</v>
      </c>
      <c r="Q386">
        <v>988.2</v>
      </c>
      <c r="R386">
        <v>59.29</v>
      </c>
      <c r="S386">
        <v>35.43</v>
      </c>
      <c r="T386">
        <v>10783.19</v>
      </c>
      <c r="U386">
        <v>0.6</v>
      </c>
      <c r="V386">
        <v>0.85</v>
      </c>
      <c r="W386">
        <v>3.02</v>
      </c>
      <c r="X386">
        <v>0.69</v>
      </c>
      <c r="Y386">
        <v>1</v>
      </c>
      <c r="Z386">
        <v>10</v>
      </c>
    </row>
    <row r="387" spans="1:26" x14ac:dyDescent="0.3">
      <c r="A387">
        <v>6</v>
      </c>
      <c r="B387">
        <v>45</v>
      </c>
      <c r="C387" t="s">
        <v>26</v>
      </c>
      <c r="D387">
        <v>6.2786999999999997</v>
      </c>
      <c r="E387">
        <v>15.93</v>
      </c>
      <c r="F387">
        <v>13.32</v>
      </c>
      <c r="G387">
        <v>26.64</v>
      </c>
      <c r="H387">
        <v>0.44</v>
      </c>
      <c r="I387">
        <v>30</v>
      </c>
      <c r="J387">
        <v>100.58</v>
      </c>
      <c r="K387">
        <v>39.72</v>
      </c>
      <c r="L387">
        <v>2.5</v>
      </c>
      <c r="M387">
        <v>28</v>
      </c>
      <c r="N387">
        <v>13.36</v>
      </c>
      <c r="O387">
        <v>12638.45</v>
      </c>
      <c r="P387">
        <v>100.69</v>
      </c>
      <c r="Q387">
        <v>988.14</v>
      </c>
      <c r="R387">
        <v>55.71</v>
      </c>
      <c r="S387">
        <v>35.43</v>
      </c>
      <c r="T387">
        <v>9014.56</v>
      </c>
      <c r="U387">
        <v>0.64</v>
      </c>
      <c r="V387">
        <v>0.86</v>
      </c>
      <c r="W387">
        <v>3</v>
      </c>
      <c r="X387">
        <v>0.56999999999999995</v>
      </c>
      <c r="Y387">
        <v>1</v>
      </c>
      <c r="Z387">
        <v>10</v>
      </c>
    </row>
    <row r="388" spans="1:26" x14ac:dyDescent="0.3">
      <c r="A388">
        <v>7</v>
      </c>
      <c r="B388">
        <v>45</v>
      </c>
      <c r="C388" t="s">
        <v>26</v>
      </c>
      <c r="D388">
        <v>6.3238000000000003</v>
      </c>
      <c r="E388">
        <v>15.81</v>
      </c>
      <c r="F388">
        <v>13.27</v>
      </c>
      <c r="G388">
        <v>29.49</v>
      </c>
      <c r="H388">
        <v>0.48</v>
      </c>
      <c r="I388">
        <v>27</v>
      </c>
      <c r="J388">
        <v>100.89</v>
      </c>
      <c r="K388">
        <v>39.72</v>
      </c>
      <c r="L388">
        <v>2.75</v>
      </c>
      <c r="M388">
        <v>22</v>
      </c>
      <c r="N388">
        <v>13.42</v>
      </c>
      <c r="O388">
        <v>12676.98</v>
      </c>
      <c r="P388">
        <v>97.65</v>
      </c>
      <c r="Q388">
        <v>988.19</v>
      </c>
      <c r="R388">
        <v>53.63</v>
      </c>
      <c r="S388">
        <v>35.43</v>
      </c>
      <c r="T388">
        <v>7992.01</v>
      </c>
      <c r="U388">
        <v>0.66</v>
      </c>
      <c r="V388">
        <v>0.86</v>
      </c>
      <c r="W388">
        <v>3.01</v>
      </c>
      <c r="X388">
        <v>0.52</v>
      </c>
      <c r="Y388">
        <v>1</v>
      </c>
      <c r="Z388">
        <v>10</v>
      </c>
    </row>
    <row r="389" spans="1:26" x14ac:dyDescent="0.3">
      <c r="A389">
        <v>8</v>
      </c>
      <c r="B389">
        <v>45</v>
      </c>
      <c r="C389" t="s">
        <v>26</v>
      </c>
      <c r="D389">
        <v>6.3474000000000004</v>
      </c>
      <c r="E389">
        <v>15.75</v>
      </c>
      <c r="F389">
        <v>13.25</v>
      </c>
      <c r="G389">
        <v>31.81</v>
      </c>
      <c r="H389">
        <v>0.52</v>
      </c>
      <c r="I389">
        <v>25</v>
      </c>
      <c r="J389">
        <v>101.2</v>
      </c>
      <c r="K389">
        <v>39.72</v>
      </c>
      <c r="L389">
        <v>3</v>
      </c>
      <c r="M389">
        <v>13</v>
      </c>
      <c r="N389">
        <v>13.49</v>
      </c>
      <c r="O389">
        <v>12715.54</v>
      </c>
      <c r="P389">
        <v>95.14</v>
      </c>
      <c r="Q389">
        <v>988.22</v>
      </c>
      <c r="R389">
        <v>52.7</v>
      </c>
      <c r="S389">
        <v>35.43</v>
      </c>
      <c r="T389">
        <v>7534.51</v>
      </c>
      <c r="U389">
        <v>0.67</v>
      </c>
      <c r="V389">
        <v>0.86</v>
      </c>
      <c r="W389">
        <v>3.02</v>
      </c>
      <c r="X389">
        <v>0.5</v>
      </c>
      <c r="Y389">
        <v>1</v>
      </c>
      <c r="Z389">
        <v>10</v>
      </c>
    </row>
    <row r="390" spans="1:26" x14ac:dyDescent="0.3">
      <c r="A390">
        <v>9</v>
      </c>
      <c r="B390">
        <v>45</v>
      </c>
      <c r="C390" t="s">
        <v>26</v>
      </c>
      <c r="D390">
        <v>6.3644999999999996</v>
      </c>
      <c r="E390">
        <v>15.71</v>
      </c>
      <c r="F390">
        <v>13.23</v>
      </c>
      <c r="G390">
        <v>33.08</v>
      </c>
      <c r="H390">
        <v>0.56000000000000005</v>
      </c>
      <c r="I390">
        <v>24</v>
      </c>
      <c r="J390">
        <v>101.52</v>
      </c>
      <c r="K390">
        <v>39.72</v>
      </c>
      <c r="L390">
        <v>3.25</v>
      </c>
      <c r="M390">
        <v>4</v>
      </c>
      <c r="N390">
        <v>13.55</v>
      </c>
      <c r="O390">
        <v>12754.13</v>
      </c>
      <c r="P390">
        <v>94.56</v>
      </c>
      <c r="Q390">
        <v>988.33</v>
      </c>
      <c r="R390">
        <v>51.92</v>
      </c>
      <c r="S390">
        <v>35.43</v>
      </c>
      <c r="T390">
        <v>7148.81</v>
      </c>
      <c r="U390">
        <v>0.68</v>
      </c>
      <c r="V390">
        <v>0.86</v>
      </c>
      <c r="W390">
        <v>3.02</v>
      </c>
      <c r="X390">
        <v>0.48</v>
      </c>
      <c r="Y390">
        <v>1</v>
      </c>
      <c r="Z390">
        <v>10</v>
      </c>
    </row>
    <row r="391" spans="1:26" x14ac:dyDescent="0.3">
      <c r="A391">
        <v>10</v>
      </c>
      <c r="B391">
        <v>45</v>
      </c>
      <c r="C391" t="s">
        <v>26</v>
      </c>
      <c r="D391">
        <v>6.3815</v>
      </c>
      <c r="E391">
        <v>15.67</v>
      </c>
      <c r="F391">
        <v>13.21</v>
      </c>
      <c r="G391">
        <v>34.46</v>
      </c>
      <c r="H391">
        <v>0.6</v>
      </c>
      <c r="I391">
        <v>23</v>
      </c>
      <c r="J391">
        <v>101.83</v>
      </c>
      <c r="K391">
        <v>39.72</v>
      </c>
      <c r="L391">
        <v>3.5</v>
      </c>
      <c r="M391">
        <v>1</v>
      </c>
      <c r="N391">
        <v>13.61</v>
      </c>
      <c r="O391">
        <v>12792.74</v>
      </c>
      <c r="P391">
        <v>94.05</v>
      </c>
      <c r="Q391">
        <v>988.31</v>
      </c>
      <c r="R391">
        <v>51.3</v>
      </c>
      <c r="S391">
        <v>35.43</v>
      </c>
      <c r="T391">
        <v>6846.66</v>
      </c>
      <c r="U391">
        <v>0.69</v>
      </c>
      <c r="V391">
        <v>0.86</v>
      </c>
      <c r="W391">
        <v>3.02</v>
      </c>
      <c r="X391">
        <v>0.45</v>
      </c>
      <c r="Y391">
        <v>1</v>
      </c>
      <c r="Z391">
        <v>10</v>
      </c>
    </row>
    <row r="392" spans="1:26" x14ac:dyDescent="0.3">
      <c r="A392">
        <v>11</v>
      </c>
      <c r="B392">
        <v>45</v>
      </c>
      <c r="C392" t="s">
        <v>26</v>
      </c>
      <c r="D392">
        <v>6.3806000000000003</v>
      </c>
      <c r="E392">
        <v>15.67</v>
      </c>
      <c r="F392">
        <v>13.21</v>
      </c>
      <c r="G392">
        <v>34.47</v>
      </c>
      <c r="H392">
        <v>0.65</v>
      </c>
      <c r="I392">
        <v>23</v>
      </c>
      <c r="J392">
        <v>102.14</v>
      </c>
      <c r="K392">
        <v>39.72</v>
      </c>
      <c r="L392">
        <v>3.75</v>
      </c>
      <c r="M392">
        <v>0</v>
      </c>
      <c r="N392">
        <v>13.68</v>
      </c>
      <c r="O392">
        <v>12831.37</v>
      </c>
      <c r="P392">
        <v>94.36</v>
      </c>
      <c r="Q392">
        <v>988.27</v>
      </c>
      <c r="R392">
        <v>51.28</v>
      </c>
      <c r="S392">
        <v>35.43</v>
      </c>
      <c r="T392">
        <v>6833.65</v>
      </c>
      <c r="U392">
        <v>0.69</v>
      </c>
      <c r="V392">
        <v>0.86</v>
      </c>
      <c r="W392">
        <v>3.02</v>
      </c>
      <c r="X392">
        <v>0.46</v>
      </c>
      <c r="Y392">
        <v>1</v>
      </c>
      <c r="Z392">
        <v>10</v>
      </c>
    </row>
    <row r="393" spans="1:26" x14ac:dyDescent="0.3">
      <c r="A393">
        <v>0</v>
      </c>
      <c r="B393">
        <v>105</v>
      </c>
      <c r="C393" t="s">
        <v>26</v>
      </c>
      <c r="D393">
        <v>3.9218000000000002</v>
      </c>
      <c r="E393">
        <v>25.5</v>
      </c>
      <c r="F393">
        <v>16.16</v>
      </c>
      <c r="G393">
        <v>5.81</v>
      </c>
      <c r="H393">
        <v>0.09</v>
      </c>
      <c r="I393">
        <v>167</v>
      </c>
      <c r="J393">
        <v>204</v>
      </c>
      <c r="K393">
        <v>55.27</v>
      </c>
      <c r="L393">
        <v>1</v>
      </c>
      <c r="M393">
        <v>165</v>
      </c>
      <c r="N393">
        <v>42.72</v>
      </c>
      <c r="O393">
        <v>25393.599999999999</v>
      </c>
      <c r="P393">
        <v>231.17</v>
      </c>
      <c r="Q393">
        <v>988.36</v>
      </c>
      <c r="R393">
        <v>143.91999999999999</v>
      </c>
      <c r="S393">
        <v>35.43</v>
      </c>
      <c r="T393">
        <v>52435.8</v>
      </c>
      <c r="U393">
        <v>0.25</v>
      </c>
      <c r="V393">
        <v>0.71</v>
      </c>
      <c r="W393">
        <v>3.23</v>
      </c>
      <c r="X393">
        <v>3.4</v>
      </c>
      <c r="Y393">
        <v>1</v>
      </c>
      <c r="Z393">
        <v>10</v>
      </c>
    </row>
    <row r="394" spans="1:26" x14ac:dyDescent="0.3">
      <c r="A394">
        <v>1</v>
      </c>
      <c r="B394">
        <v>105</v>
      </c>
      <c r="C394" t="s">
        <v>26</v>
      </c>
      <c r="D394">
        <v>4.3499999999999996</v>
      </c>
      <c r="E394">
        <v>22.99</v>
      </c>
      <c r="F394">
        <v>15.31</v>
      </c>
      <c r="G394">
        <v>7.29</v>
      </c>
      <c r="H394">
        <v>0.11</v>
      </c>
      <c r="I394">
        <v>126</v>
      </c>
      <c r="J394">
        <v>204.39</v>
      </c>
      <c r="K394">
        <v>55.27</v>
      </c>
      <c r="L394">
        <v>1.25</v>
      </c>
      <c r="M394">
        <v>124</v>
      </c>
      <c r="N394">
        <v>42.87</v>
      </c>
      <c r="O394">
        <v>25442.42</v>
      </c>
      <c r="P394">
        <v>218.14</v>
      </c>
      <c r="Q394">
        <v>988.5</v>
      </c>
      <c r="R394">
        <v>117.26</v>
      </c>
      <c r="S394">
        <v>35.43</v>
      </c>
      <c r="T394">
        <v>39309.67</v>
      </c>
      <c r="U394">
        <v>0.3</v>
      </c>
      <c r="V394">
        <v>0.74</v>
      </c>
      <c r="W394">
        <v>3.17</v>
      </c>
      <c r="X394">
        <v>2.56</v>
      </c>
      <c r="Y394">
        <v>1</v>
      </c>
      <c r="Z394">
        <v>10</v>
      </c>
    </row>
    <row r="395" spans="1:26" x14ac:dyDescent="0.3">
      <c r="A395">
        <v>2</v>
      </c>
      <c r="B395">
        <v>105</v>
      </c>
      <c r="C395" t="s">
        <v>26</v>
      </c>
      <c r="D395">
        <v>4.6471999999999998</v>
      </c>
      <c r="E395">
        <v>21.52</v>
      </c>
      <c r="F395">
        <v>14.82</v>
      </c>
      <c r="G395">
        <v>8.7200000000000006</v>
      </c>
      <c r="H395">
        <v>0.13</v>
      </c>
      <c r="I395">
        <v>102</v>
      </c>
      <c r="J395">
        <v>204.79</v>
      </c>
      <c r="K395">
        <v>55.27</v>
      </c>
      <c r="L395">
        <v>1.5</v>
      </c>
      <c r="M395">
        <v>100</v>
      </c>
      <c r="N395">
        <v>43.02</v>
      </c>
      <c r="O395">
        <v>25491.3</v>
      </c>
      <c r="P395">
        <v>210.11</v>
      </c>
      <c r="Q395">
        <v>988.25</v>
      </c>
      <c r="R395">
        <v>101.54</v>
      </c>
      <c r="S395">
        <v>35.43</v>
      </c>
      <c r="T395">
        <v>31571.89</v>
      </c>
      <c r="U395">
        <v>0.35</v>
      </c>
      <c r="V395">
        <v>0.77</v>
      </c>
      <c r="W395">
        <v>3.15</v>
      </c>
      <c r="X395">
        <v>2.06</v>
      </c>
      <c r="Y395">
        <v>1</v>
      </c>
      <c r="Z395">
        <v>10</v>
      </c>
    </row>
    <row r="396" spans="1:26" x14ac:dyDescent="0.3">
      <c r="A396">
        <v>3</v>
      </c>
      <c r="B396">
        <v>105</v>
      </c>
      <c r="C396" t="s">
        <v>26</v>
      </c>
      <c r="D396">
        <v>4.8878000000000004</v>
      </c>
      <c r="E396">
        <v>20.46</v>
      </c>
      <c r="F396">
        <v>14.45</v>
      </c>
      <c r="G396">
        <v>10.199999999999999</v>
      </c>
      <c r="H396">
        <v>0.15</v>
      </c>
      <c r="I396">
        <v>85</v>
      </c>
      <c r="J396">
        <v>205.18</v>
      </c>
      <c r="K396">
        <v>55.27</v>
      </c>
      <c r="L396">
        <v>1.75</v>
      </c>
      <c r="M396">
        <v>83</v>
      </c>
      <c r="N396">
        <v>43.16</v>
      </c>
      <c r="O396">
        <v>25540.22</v>
      </c>
      <c r="P396">
        <v>203.94</v>
      </c>
      <c r="Q396">
        <v>988.36</v>
      </c>
      <c r="R396">
        <v>90.25</v>
      </c>
      <c r="S396">
        <v>35.43</v>
      </c>
      <c r="T396">
        <v>26011.66</v>
      </c>
      <c r="U396">
        <v>0.39</v>
      </c>
      <c r="V396">
        <v>0.79</v>
      </c>
      <c r="W396">
        <v>3.1</v>
      </c>
      <c r="X396">
        <v>1.69</v>
      </c>
      <c r="Y396">
        <v>1</v>
      </c>
      <c r="Z396">
        <v>10</v>
      </c>
    </row>
    <row r="397" spans="1:26" x14ac:dyDescent="0.3">
      <c r="A397">
        <v>4</v>
      </c>
      <c r="B397">
        <v>105</v>
      </c>
      <c r="C397" t="s">
        <v>26</v>
      </c>
      <c r="D397">
        <v>5.0678000000000001</v>
      </c>
      <c r="E397">
        <v>19.73</v>
      </c>
      <c r="F397">
        <v>14.21</v>
      </c>
      <c r="G397">
        <v>11.68</v>
      </c>
      <c r="H397">
        <v>0.17</v>
      </c>
      <c r="I397">
        <v>73</v>
      </c>
      <c r="J397">
        <v>205.58</v>
      </c>
      <c r="K397">
        <v>55.27</v>
      </c>
      <c r="L397">
        <v>2</v>
      </c>
      <c r="M397">
        <v>71</v>
      </c>
      <c r="N397">
        <v>43.31</v>
      </c>
      <c r="O397">
        <v>25589.200000000001</v>
      </c>
      <c r="P397">
        <v>199.65</v>
      </c>
      <c r="Q397">
        <v>988.41</v>
      </c>
      <c r="R397">
        <v>82.99</v>
      </c>
      <c r="S397">
        <v>35.43</v>
      </c>
      <c r="T397">
        <v>22440.04</v>
      </c>
      <c r="U397">
        <v>0.43</v>
      </c>
      <c r="V397">
        <v>0.8</v>
      </c>
      <c r="W397">
        <v>3.08</v>
      </c>
      <c r="X397">
        <v>1.45</v>
      </c>
      <c r="Y397">
        <v>1</v>
      </c>
      <c r="Z397">
        <v>10</v>
      </c>
    </row>
    <row r="398" spans="1:26" x14ac:dyDescent="0.3">
      <c r="A398">
        <v>5</v>
      </c>
      <c r="B398">
        <v>105</v>
      </c>
      <c r="C398" t="s">
        <v>26</v>
      </c>
      <c r="D398">
        <v>5.2119999999999997</v>
      </c>
      <c r="E398">
        <v>19.190000000000001</v>
      </c>
      <c r="F398">
        <v>14.03</v>
      </c>
      <c r="G398">
        <v>13.15</v>
      </c>
      <c r="H398">
        <v>0.19</v>
      </c>
      <c r="I398">
        <v>64</v>
      </c>
      <c r="J398">
        <v>205.98</v>
      </c>
      <c r="K398">
        <v>55.27</v>
      </c>
      <c r="L398">
        <v>2.25</v>
      </c>
      <c r="M398">
        <v>62</v>
      </c>
      <c r="N398">
        <v>43.46</v>
      </c>
      <c r="O398">
        <v>25638.22</v>
      </c>
      <c r="P398">
        <v>196.22</v>
      </c>
      <c r="Q398">
        <v>988.31</v>
      </c>
      <c r="R398">
        <v>77.47</v>
      </c>
      <c r="S398">
        <v>35.43</v>
      </c>
      <c r="T398">
        <v>19727.28</v>
      </c>
      <c r="U398">
        <v>0.46</v>
      </c>
      <c r="V398">
        <v>0.81</v>
      </c>
      <c r="W398">
        <v>3.07</v>
      </c>
      <c r="X398">
        <v>1.27</v>
      </c>
      <c r="Y398">
        <v>1</v>
      </c>
      <c r="Z398">
        <v>10</v>
      </c>
    </row>
    <row r="399" spans="1:26" x14ac:dyDescent="0.3">
      <c r="A399">
        <v>6</v>
      </c>
      <c r="B399">
        <v>105</v>
      </c>
      <c r="C399" t="s">
        <v>26</v>
      </c>
      <c r="D399">
        <v>5.3329000000000004</v>
      </c>
      <c r="E399">
        <v>18.75</v>
      </c>
      <c r="F399">
        <v>13.88</v>
      </c>
      <c r="G399">
        <v>14.61</v>
      </c>
      <c r="H399">
        <v>0.22</v>
      </c>
      <c r="I399">
        <v>57</v>
      </c>
      <c r="J399">
        <v>206.38</v>
      </c>
      <c r="K399">
        <v>55.27</v>
      </c>
      <c r="L399">
        <v>2.5</v>
      </c>
      <c r="M399">
        <v>55</v>
      </c>
      <c r="N399">
        <v>43.6</v>
      </c>
      <c r="O399">
        <v>25687.3</v>
      </c>
      <c r="P399">
        <v>193.12</v>
      </c>
      <c r="Q399">
        <v>988.39</v>
      </c>
      <c r="R399">
        <v>72.61</v>
      </c>
      <c r="S399">
        <v>35.43</v>
      </c>
      <c r="T399">
        <v>17330.52</v>
      </c>
      <c r="U399">
        <v>0.49</v>
      </c>
      <c r="V399">
        <v>0.82</v>
      </c>
      <c r="W399">
        <v>3.06</v>
      </c>
      <c r="X399">
        <v>1.1200000000000001</v>
      </c>
      <c r="Y399">
        <v>1</v>
      </c>
      <c r="Z399">
        <v>10</v>
      </c>
    </row>
    <row r="400" spans="1:26" x14ac:dyDescent="0.3">
      <c r="A400">
        <v>7</v>
      </c>
      <c r="B400">
        <v>105</v>
      </c>
      <c r="C400" t="s">
        <v>26</v>
      </c>
      <c r="D400">
        <v>5.4328000000000003</v>
      </c>
      <c r="E400">
        <v>18.41</v>
      </c>
      <c r="F400">
        <v>13.77</v>
      </c>
      <c r="G400">
        <v>16.2</v>
      </c>
      <c r="H400">
        <v>0.24</v>
      </c>
      <c r="I400">
        <v>51</v>
      </c>
      <c r="J400">
        <v>206.78</v>
      </c>
      <c r="K400">
        <v>55.27</v>
      </c>
      <c r="L400">
        <v>2.75</v>
      </c>
      <c r="M400">
        <v>49</v>
      </c>
      <c r="N400">
        <v>43.75</v>
      </c>
      <c r="O400">
        <v>25736.42</v>
      </c>
      <c r="P400">
        <v>190.72</v>
      </c>
      <c r="Q400">
        <v>988.26</v>
      </c>
      <c r="R400">
        <v>69.38</v>
      </c>
      <c r="S400">
        <v>35.43</v>
      </c>
      <c r="T400">
        <v>15744.83</v>
      </c>
      <c r="U400">
        <v>0.51</v>
      </c>
      <c r="V400">
        <v>0.83</v>
      </c>
      <c r="W400">
        <v>3.05</v>
      </c>
      <c r="X400">
        <v>1.02</v>
      </c>
      <c r="Y400">
        <v>1</v>
      </c>
      <c r="Z400">
        <v>10</v>
      </c>
    </row>
    <row r="401" spans="1:26" x14ac:dyDescent="0.3">
      <c r="A401">
        <v>8</v>
      </c>
      <c r="B401">
        <v>105</v>
      </c>
      <c r="C401" t="s">
        <v>26</v>
      </c>
      <c r="D401">
        <v>5.5293000000000001</v>
      </c>
      <c r="E401">
        <v>18.09</v>
      </c>
      <c r="F401">
        <v>13.66</v>
      </c>
      <c r="G401">
        <v>17.809999999999999</v>
      </c>
      <c r="H401">
        <v>0.26</v>
      </c>
      <c r="I401">
        <v>46</v>
      </c>
      <c r="J401">
        <v>207.17</v>
      </c>
      <c r="K401">
        <v>55.27</v>
      </c>
      <c r="L401">
        <v>3</v>
      </c>
      <c r="M401">
        <v>44</v>
      </c>
      <c r="N401">
        <v>43.9</v>
      </c>
      <c r="O401">
        <v>25785.599999999999</v>
      </c>
      <c r="P401">
        <v>188.21</v>
      </c>
      <c r="Q401">
        <v>988.19</v>
      </c>
      <c r="R401">
        <v>65.489999999999995</v>
      </c>
      <c r="S401">
        <v>35.43</v>
      </c>
      <c r="T401">
        <v>13824.48</v>
      </c>
      <c r="U401">
        <v>0.54</v>
      </c>
      <c r="V401">
        <v>0.83</v>
      </c>
      <c r="W401">
        <v>3.04</v>
      </c>
      <c r="X401">
        <v>0.9</v>
      </c>
      <c r="Y401">
        <v>1</v>
      </c>
      <c r="Z401">
        <v>10</v>
      </c>
    </row>
    <row r="402" spans="1:26" x14ac:dyDescent="0.3">
      <c r="A402">
        <v>9</v>
      </c>
      <c r="B402">
        <v>105</v>
      </c>
      <c r="C402" t="s">
        <v>26</v>
      </c>
      <c r="D402">
        <v>5.6059999999999999</v>
      </c>
      <c r="E402">
        <v>17.84</v>
      </c>
      <c r="F402">
        <v>13.57</v>
      </c>
      <c r="G402">
        <v>19.39</v>
      </c>
      <c r="H402">
        <v>0.28000000000000003</v>
      </c>
      <c r="I402">
        <v>42</v>
      </c>
      <c r="J402">
        <v>207.57</v>
      </c>
      <c r="K402">
        <v>55.27</v>
      </c>
      <c r="L402">
        <v>3.25</v>
      </c>
      <c r="M402">
        <v>40</v>
      </c>
      <c r="N402">
        <v>44.05</v>
      </c>
      <c r="O402">
        <v>25834.83</v>
      </c>
      <c r="P402">
        <v>185.92</v>
      </c>
      <c r="Q402">
        <v>988.16</v>
      </c>
      <c r="R402">
        <v>63.32</v>
      </c>
      <c r="S402">
        <v>35.43</v>
      </c>
      <c r="T402">
        <v>12759.12</v>
      </c>
      <c r="U402">
        <v>0.56000000000000005</v>
      </c>
      <c r="V402">
        <v>0.84</v>
      </c>
      <c r="W402">
        <v>3.03</v>
      </c>
      <c r="X402">
        <v>0.82</v>
      </c>
      <c r="Y402">
        <v>1</v>
      </c>
      <c r="Z402">
        <v>10</v>
      </c>
    </row>
    <row r="403" spans="1:26" x14ac:dyDescent="0.3">
      <c r="A403">
        <v>10</v>
      </c>
      <c r="B403">
        <v>105</v>
      </c>
      <c r="C403" t="s">
        <v>26</v>
      </c>
      <c r="D403">
        <v>5.6614000000000004</v>
      </c>
      <c r="E403">
        <v>17.66</v>
      </c>
      <c r="F403">
        <v>13.52</v>
      </c>
      <c r="G403">
        <v>20.8</v>
      </c>
      <c r="H403">
        <v>0.3</v>
      </c>
      <c r="I403">
        <v>39</v>
      </c>
      <c r="J403">
        <v>207.97</v>
      </c>
      <c r="K403">
        <v>55.27</v>
      </c>
      <c r="L403">
        <v>3.5</v>
      </c>
      <c r="M403">
        <v>37</v>
      </c>
      <c r="N403">
        <v>44.2</v>
      </c>
      <c r="O403">
        <v>25884.1</v>
      </c>
      <c r="P403">
        <v>184.56</v>
      </c>
      <c r="Q403">
        <v>988.18</v>
      </c>
      <c r="R403">
        <v>61.42</v>
      </c>
      <c r="S403">
        <v>35.43</v>
      </c>
      <c r="T403">
        <v>11825.12</v>
      </c>
      <c r="U403">
        <v>0.57999999999999996</v>
      </c>
      <c r="V403">
        <v>0.84</v>
      </c>
      <c r="W403">
        <v>3.03</v>
      </c>
      <c r="X403">
        <v>0.76</v>
      </c>
      <c r="Y403">
        <v>1</v>
      </c>
      <c r="Z403">
        <v>10</v>
      </c>
    </row>
    <row r="404" spans="1:26" x14ac:dyDescent="0.3">
      <c r="A404">
        <v>11</v>
      </c>
      <c r="B404">
        <v>105</v>
      </c>
      <c r="C404" t="s">
        <v>26</v>
      </c>
      <c r="D404">
        <v>5.7206000000000001</v>
      </c>
      <c r="E404">
        <v>17.48</v>
      </c>
      <c r="F404">
        <v>13.46</v>
      </c>
      <c r="G404">
        <v>22.43</v>
      </c>
      <c r="H404">
        <v>0.32</v>
      </c>
      <c r="I404">
        <v>36</v>
      </c>
      <c r="J404">
        <v>208.37</v>
      </c>
      <c r="K404">
        <v>55.27</v>
      </c>
      <c r="L404">
        <v>3.75</v>
      </c>
      <c r="M404">
        <v>34</v>
      </c>
      <c r="N404">
        <v>44.35</v>
      </c>
      <c r="O404">
        <v>25933.43</v>
      </c>
      <c r="P404">
        <v>182.58</v>
      </c>
      <c r="Q404">
        <v>988.1</v>
      </c>
      <c r="R404">
        <v>59.52</v>
      </c>
      <c r="S404">
        <v>35.43</v>
      </c>
      <c r="T404">
        <v>10890.2</v>
      </c>
      <c r="U404">
        <v>0.6</v>
      </c>
      <c r="V404">
        <v>0.85</v>
      </c>
      <c r="W404">
        <v>3.02</v>
      </c>
      <c r="X404">
        <v>0.7</v>
      </c>
      <c r="Y404">
        <v>1</v>
      </c>
      <c r="Z404">
        <v>10</v>
      </c>
    </row>
    <row r="405" spans="1:26" x14ac:dyDescent="0.3">
      <c r="A405">
        <v>12</v>
      </c>
      <c r="B405">
        <v>105</v>
      </c>
      <c r="C405" t="s">
        <v>26</v>
      </c>
      <c r="D405">
        <v>5.7625000000000002</v>
      </c>
      <c r="E405">
        <v>17.350000000000001</v>
      </c>
      <c r="F405">
        <v>13.41</v>
      </c>
      <c r="G405">
        <v>23.66</v>
      </c>
      <c r="H405">
        <v>0.34</v>
      </c>
      <c r="I405">
        <v>34</v>
      </c>
      <c r="J405">
        <v>208.77</v>
      </c>
      <c r="K405">
        <v>55.27</v>
      </c>
      <c r="L405">
        <v>4</v>
      </c>
      <c r="M405">
        <v>32</v>
      </c>
      <c r="N405">
        <v>44.5</v>
      </c>
      <c r="O405">
        <v>25982.82</v>
      </c>
      <c r="P405">
        <v>181.18</v>
      </c>
      <c r="Q405">
        <v>988.15</v>
      </c>
      <c r="R405">
        <v>58.25</v>
      </c>
      <c r="S405">
        <v>35.43</v>
      </c>
      <c r="T405">
        <v>10263.9</v>
      </c>
      <c r="U405">
        <v>0.61</v>
      </c>
      <c r="V405">
        <v>0.85</v>
      </c>
      <c r="W405">
        <v>3.02</v>
      </c>
      <c r="X405">
        <v>0.66</v>
      </c>
      <c r="Y405">
        <v>1</v>
      </c>
      <c r="Z405">
        <v>10</v>
      </c>
    </row>
    <row r="406" spans="1:26" x14ac:dyDescent="0.3">
      <c r="A406">
        <v>13</v>
      </c>
      <c r="B406">
        <v>105</v>
      </c>
      <c r="C406" t="s">
        <v>26</v>
      </c>
      <c r="D406">
        <v>5.7968000000000002</v>
      </c>
      <c r="E406">
        <v>17.25</v>
      </c>
      <c r="F406">
        <v>13.39</v>
      </c>
      <c r="G406">
        <v>25.1</v>
      </c>
      <c r="H406">
        <v>0.36</v>
      </c>
      <c r="I406">
        <v>32</v>
      </c>
      <c r="J406">
        <v>209.17</v>
      </c>
      <c r="K406">
        <v>55.27</v>
      </c>
      <c r="L406">
        <v>4.25</v>
      </c>
      <c r="M406">
        <v>30</v>
      </c>
      <c r="N406">
        <v>44.65</v>
      </c>
      <c r="O406">
        <v>26032.25</v>
      </c>
      <c r="P406">
        <v>179.69</v>
      </c>
      <c r="Q406">
        <v>988.2</v>
      </c>
      <c r="R406">
        <v>57.32</v>
      </c>
      <c r="S406">
        <v>35.43</v>
      </c>
      <c r="T406">
        <v>9810.8700000000008</v>
      </c>
      <c r="U406">
        <v>0.62</v>
      </c>
      <c r="V406">
        <v>0.85</v>
      </c>
      <c r="W406">
        <v>3.02</v>
      </c>
      <c r="X406">
        <v>0.63</v>
      </c>
      <c r="Y406">
        <v>1</v>
      </c>
      <c r="Z406">
        <v>10</v>
      </c>
    </row>
    <row r="407" spans="1:26" x14ac:dyDescent="0.3">
      <c r="A407">
        <v>14</v>
      </c>
      <c r="B407">
        <v>105</v>
      </c>
      <c r="C407" t="s">
        <v>26</v>
      </c>
      <c r="D407">
        <v>5.8491999999999997</v>
      </c>
      <c r="E407">
        <v>17.100000000000001</v>
      </c>
      <c r="F407">
        <v>13.31</v>
      </c>
      <c r="G407">
        <v>26.63</v>
      </c>
      <c r="H407">
        <v>0.38</v>
      </c>
      <c r="I407">
        <v>30</v>
      </c>
      <c r="J407">
        <v>209.58</v>
      </c>
      <c r="K407">
        <v>55.27</v>
      </c>
      <c r="L407">
        <v>4.5</v>
      </c>
      <c r="M407">
        <v>28</v>
      </c>
      <c r="N407">
        <v>44.8</v>
      </c>
      <c r="O407">
        <v>26081.73</v>
      </c>
      <c r="P407">
        <v>178.08</v>
      </c>
      <c r="Q407">
        <v>988.13</v>
      </c>
      <c r="R407">
        <v>55.3</v>
      </c>
      <c r="S407">
        <v>35.43</v>
      </c>
      <c r="T407">
        <v>8811.64</v>
      </c>
      <c r="U407">
        <v>0.64</v>
      </c>
      <c r="V407">
        <v>0.86</v>
      </c>
      <c r="W407">
        <v>3.01</v>
      </c>
      <c r="X407">
        <v>0.56000000000000005</v>
      </c>
      <c r="Y407">
        <v>1</v>
      </c>
      <c r="Z407">
        <v>10</v>
      </c>
    </row>
    <row r="408" spans="1:26" x14ac:dyDescent="0.3">
      <c r="A408">
        <v>15</v>
      </c>
      <c r="B408">
        <v>105</v>
      </c>
      <c r="C408" t="s">
        <v>26</v>
      </c>
      <c r="D408">
        <v>5.8864000000000001</v>
      </c>
      <c r="E408">
        <v>16.989999999999998</v>
      </c>
      <c r="F408">
        <v>13.29</v>
      </c>
      <c r="G408">
        <v>28.47</v>
      </c>
      <c r="H408">
        <v>0.4</v>
      </c>
      <c r="I408">
        <v>28</v>
      </c>
      <c r="J408">
        <v>209.98</v>
      </c>
      <c r="K408">
        <v>55.27</v>
      </c>
      <c r="L408">
        <v>4.75</v>
      </c>
      <c r="M408">
        <v>26</v>
      </c>
      <c r="N408">
        <v>44.95</v>
      </c>
      <c r="O408">
        <v>26131.27</v>
      </c>
      <c r="P408">
        <v>176.56</v>
      </c>
      <c r="Q408">
        <v>988.2</v>
      </c>
      <c r="R408">
        <v>54.49</v>
      </c>
      <c r="S408">
        <v>35.43</v>
      </c>
      <c r="T408">
        <v>8417.9699999999993</v>
      </c>
      <c r="U408">
        <v>0.65</v>
      </c>
      <c r="V408">
        <v>0.86</v>
      </c>
      <c r="W408">
        <v>3</v>
      </c>
      <c r="X408">
        <v>0.53</v>
      </c>
      <c r="Y408">
        <v>1</v>
      </c>
      <c r="Z408">
        <v>10</v>
      </c>
    </row>
    <row r="409" spans="1:26" x14ac:dyDescent="0.3">
      <c r="A409">
        <v>16</v>
      </c>
      <c r="B409">
        <v>105</v>
      </c>
      <c r="C409" t="s">
        <v>26</v>
      </c>
      <c r="D409">
        <v>5.9043999999999999</v>
      </c>
      <c r="E409">
        <v>16.940000000000001</v>
      </c>
      <c r="F409">
        <v>13.28</v>
      </c>
      <c r="G409">
        <v>29.5</v>
      </c>
      <c r="H409">
        <v>0.42</v>
      </c>
      <c r="I409">
        <v>27</v>
      </c>
      <c r="J409">
        <v>210.38</v>
      </c>
      <c r="K409">
        <v>55.27</v>
      </c>
      <c r="L409">
        <v>5</v>
      </c>
      <c r="M409">
        <v>25</v>
      </c>
      <c r="N409">
        <v>45.11</v>
      </c>
      <c r="O409">
        <v>26180.86</v>
      </c>
      <c r="P409">
        <v>175.41</v>
      </c>
      <c r="Q409">
        <v>988.12</v>
      </c>
      <c r="R409">
        <v>53.75</v>
      </c>
      <c r="S409">
        <v>35.43</v>
      </c>
      <c r="T409">
        <v>8053.12</v>
      </c>
      <c r="U409">
        <v>0.66</v>
      </c>
      <c r="V409">
        <v>0.86</v>
      </c>
      <c r="W409">
        <v>3.02</v>
      </c>
      <c r="X409">
        <v>0.52</v>
      </c>
      <c r="Y409">
        <v>1</v>
      </c>
      <c r="Z409">
        <v>10</v>
      </c>
    </row>
    <row r="410" spans="1:26" x14ac:dyDescent="0.3">
      <c r="A410">
        <v>17</v>
      </c>
      <c r="B410">
        <v>105</v>
      </c>
      <c r="C410" t="s">
        <v>26</v>
      </c>
      <c r="D410">
        <v>5.9457000000000004</v>
      </c>
      <c r="E410">
        <v>16.82</v>
      </c>
      <c r="F410">
        <v>13.24</v>
      </c>
      <c r="G410">
        <v>31.78</v>
      </c>
      <c r="H410">
        <v>0.44</v>
      </c>
      <c r="I410">
        <v>25</v>
      </c>
      <c r="J410">
        <v>210.78</v>
      </c>
      <c r="K410">
        <v>55.27</v>
      </c>
      <c r="L410">
        <v>5.25</v>
      </c>
      <c r="M410">
        <v>23</v>
      </c>
      <c r="N410">
        <v>45.26</v>
      </c>
      <c r="O410">
        <v>26230.5</v>
      </c>
      <c r="P410">
        <v>174.07</v>
      </c>
      <c r="Q410">
        <v>988.21</v>
      </c>
      <c r="R410">
        <v>52.92</v>
      </c>
      <c r="S410">
        <v>35.43</v>
      </c>
      <c r="T410">
        <v>7647.28</v>
      </c>
      <c r="U410">
        <v>0.67</v>
      </c>
      <c r="V410">
        <v>0.86</v>
      </c>
      <c r="W410">
        <v>3</v>
      </c>
      <c r="X410">
        <v>0.49</v>
      </c>
      <c r="Y410">
        <v>1</v>
      </c>
      <c r="Z410">
        <v>10</v>
      </c>
    </row>
    <row r="411" spans="1:26" x14ac:dyDescent="0.3">
      <c r="A411">
        <v>18</v>
      </c>
      <c r="B411">
        <v>105</v>
      </c>
      <c r="C411" t="s">
        <v>26</v>
      </c>
      <c r="D411">
        <v>5.9756999999999998</v>
      </c>
      <c r="E411">
        <v>16.73</v>
      </c>
      <c r="F411">
        <v>13.2</v>
      </c>
      <c r="G411">
        <v>32.99</v>
      </c>
      <c r="H411">
        <v>0.46</v>
      </c>
      <c r="I411">
        <v>24</v>
      </c>
      <c r="J411">
        <v>211.18</v>
      </c>
      <c r="K411">
        <v>55.27</v>
      </c>
      <c r="L411">
        <v>5.5</v>
      </c>
      <c r="M411">
        <v>22</v>
      </c>
      <c r="N411">
        <v>45.41</v>
      </c>
      <c r="O411">
        <v>26280.2</v>
      </c>
      <c r="P411">
        <v>172.52</v>
      </c>
      <c r="Q411">
        <v>988.14</v>
      </c>
      <c r="R411">
        <v>51.57</v>
      </c>
      <c r="S411">
        <v>35.43</v>
      </c>
      <c r="T411">
        <v>6974.25</v>
      </c>
      <c r="U411">
        <v>0.69</v>
      </c>
      <c r="V411">
        <v>0.86</v>
      </c>
      <c r="W411">
        <v>3</v>
      </c>
      <c r="X411">
        <v>0.44</v>
      </c>
      <c r="Y411">
        <v>1</v>
      </c>
      <c r="Z411">
        <v>10</v>
      </c>
    </row>
    <row r="412" spans="1:26" x14ac:dyDescent="0.3">
      <c r="A412">
        <v>19</v>
      </c>
      <c r="B412">
        <v>105</v>
      </c>
      <c r="C412" t="s">
        <v>26</v>
      </c>
      <c r="D412">
        <v>5.9897999999999998</v>
      </c>
      <c r="E412">
        <v>16.7</v>
      </c>
      <c r="F412">
        <v>13.2</v>
      </c>
      <c r="G412">
        <v>34.43</v>
      </c>
      <c r="H412">
        <v>0.48</v>
      </c>
      <c r="I412">
        <v>23</v>
      </c>
      <c r="J412">
        <v>211.59</v>
      </c>
      <c r="K412">
        <v>55.27</v>
      </c>
      <c r="L412">
        <v>5.75</v>
      </c>
      <c r="M412">
        <v>21</v>
      </c>
      <c r="N412">
        <v>45.57</v>
      </c>
      <c r="O412">
        <v>26329.94</v>
      </c>
      <c r="P412">
        <v>171.78</v>
      </c>
      <c r="Q412">
        <v>988.12</v>
      </c>
      <c r="R412">
        <v>51.44</v>
      </c>
      <c r="S412">
        <v>35.43</v>
      </c>
      <c r="T412">
        <v>6915.82</v>
      </c>
      <c r="U412">
        <v>0.69</v>
      </c>
      <c r="V412">
        <v>0.86</v>
      </c>
      <c r="W412">
        <v>3</v>
      </c>
      <c r="X412">
        <v>0.44</v>
      </c>
      <c r="Y412">
        <v>1</v>
      </c>
      <c r="Z412">
        <v>10</v>
      </c>
    </row>
    <row r="413" spans="1:26" x14ac:dyDescent="0.3">
      <c r="A413">
        <v>20</v>
      </c>
      <c r="B413">
        <v>105</v>
      </c>
      <c r="C413" t="s">
        <v>26</v>
      </c>
      <c r="D413">
        <v>6.0136000000000003</v>
      </c>
      <c r="E413">
        <v>16.63</v>
      </c>
      <c r="F413">
        <v>13.17</v>
      </c>
      <c r="G413">
        <v>35.92</v>
      </c>
      <c r="H413">
        <v>0.5</v>
      </c>
      <c r="I413">
        <v>22</v>
      </c>
      <c r="J413">
        <v>211.99</v>
      </c>
      <c r="K413">
        <v>55.27</v>
      </c>
      <c r="L413">
        <v>6</v>
      </c>
      <c r="M413">
        <v>20</v>
      </c>
      <c r="N413">
        <v>45.72</v>
      </c>
      <c r="O413">
        <v>26379.74</v>
      </c>
      <c r="P413">
        <v>170.42</v>
      </c>
      <c r="Q413">
        <v>988.12</v>
      </c>
      <c r="R413">
        <v>50.8</v>
      </c>
      <c r="S413">
        <v>35.43</v>
      </c>
      <c r="T413">
        <v>6602.05</v>
      </c>
      <c r="U413">
        <v>0.7</v>
      </c>
      <c r="V413">
        <v>0.87</v>
      </c>
      <c r="W413">
        <v>3</v>
      </c>
      <c r="X413">
        <v>0.42</v>
      </c>
      <c r="Y413">
        <v>1</v>
      </c>
      <c r="Z413">
        <v>10</v>
      </c>
    </row>
    <row r="414" spans="1:26" x14ac:dyDescent="0.3">
      <c r="A414">
        <v>21</v>
      </c>
      <c r="B414">
        <v>105</v>
      </c>
      <c r="C414" t="s">
        <v>26</v>
      </c>
      <c r="D414">
        <v>6.0373999999999999</v>
      </c>
      <c r="E414">
        <v>16.559999999999999</v>
      </c>
      <c r="F414">
        <v>13.15</v>
      </c>
      <c r="G414">
        <v>37.56</v>
      </c>
      <c r="H414">
        <v>0.52</v>
      </c>
      <c r="I414">
        <v>21</v>
      </c>
      <c r="J414">
        <v>212.4</v>
      </c>
      <c r="K414">
        <v>55.27</v>
      </c>
      <c r="L414">
        <v>6.25</v>
      </c>
      <c r="M414">
        <v>19</v>
      </c>
      <c r="N414">
        <v>45.87</v>
      </c>
      <c r="O414">
        <v>26429.59</v>
      </c>
      <c r="P414">
        <v>168.55</v>
      </c>
      <c r="Q414">
        <v>988.15</v>
      </c>
      <c r="R414">
        <v>50</v>
      </c>
      <c r="S414">
        <v>35.43</v>
      </c>
      <c r="T414">
        <v>6207.46</v>
      </c>
      <c r="U414">
        <v>0.71</v>
      </c>
      <c r="V414">
        <v>0.87</v>
      </c>
      <c r="W414">
        <v>3</v>
      </c>
      <c r="X414">
        <v>0.39</v>
      </c>
      <c r="Y414">
        <v>1</v>
      </c>
      <c r="Z414">
        <v>10</v>
      </c>
    </row>
    <row r="415" spans="1:26" x14ac:dyDescent="0.3">
      <c r="A415">
        <v>22</v>
      </c>
      <c r="B415">
        <v>105</v>
      </c>
      <c r="C415" t="s">
        <v>26</v>
      </c>
      <c r="D415">
        <v>6.0640999999999998</v>
      </c>
      <c r="E415">
        <v>16.489999999999998</v>
      </c>
      <c r="F415">
        <v>13.11</v>
      </c>
      <c r="G415">
        <v>39.340000000000003</v>
      </c>
      <c r="H415">
        <v>0.54</v>
      </c>
      <c r="I415">
        <v>20</v>
      </c>
      <c r="J415">
        <v>212.8</v>
      </c>
      <c r="K415">
        <v>55.27</v>
      </c>
      <c r="L415">
        <v>6.5</v>
      </c>
      <c r="M415">
        <v>18</v>
      </c>
      <c r="N415">
        <v>46.03</v>
      </c>
      <c r="O415">
        <v>26479.5</v>
      </c>
      <c r="P415">
        <v>167.68</v>
      </c>
      <c r="Q415">
        <v>988.15</v>
      </c>
      <c r="R415">
        <v>48.99</v>
      </c>
      <c r="S415">
        <v>35.43</v>
      </c>
      <c r="T415">
        <v>5703.86</v>
      </c>
      <c r="U415">
        <v>0.72</v>
      </c>
      <c r="V415">
        <v>0.87</v>
      </c>
      <c r="W415">
        <v>2.99</v>
      </c>
      <c r="X415">
        <v>0.36</v>
      </c>
      <c r="Y415">
        <v>1</v>
      </c>
      <c r="Z415">
        <v>10</v>
      </c>
    </row>
    <row r="416" spans="1:26" x14ac:dyDescent="0.3">
      <c r="A416">
        <v>23</v>
      </c>
      <c r="B416">
        <v>105</v>
      </c>
      <c r="C416" t="s">
        <v>26</v>
      </c>
      <c r="D416">
        <v>6.0816999999999997</v>
      </c>
      <c r="E416">
        <v>16.440000000000001</v>
      </c>
      <c r="F416">
        <v>13.11</v>
      </c>
      <c r="G416">
        <v>41.39</v>
      </c>
      <c r="H416">
        <v>0.56000000000000005</v>
      </c>
      <c r="I416">
        <v>19</v>
      </c>
      <c r="J416">
        <v>213.21</v>
      </c>
      <c r="K416">
        <v>55.27</v>
      </c>
      <c r="L416">
        <v>6.75</v>
      </c>
      <c r="M416">
        <v>17</v>
      </c>
      <c r="N416">
        <v>46.18</v>
      </c>
      <c r="O416">
        <v>26529.46</v>
      </c>
      <c r="P416">
        <v>166.46</v>
      </c>
      <c r="Q416">
        <v>988.25</v>
      </c>
      <c r="R416">
        <v>48.67</v>
      </c>
      <c r="S416">
        <v>35.43</v>
      </c>
      <c r="T416">
        <v>5551.73</v>
      </c>
      <c r="U416">
        <v>0.73</v>
      </c>
      <c r="V416">
        <v>0.87</v>
      </c>
      <c r="W416">
        <v>3</v>
      </c>
      <c r="X416">
        <v>0.35</v>
      </c>
      <c r="Y416">
        <v>1</v>
      </c>
      <c r="Z416">
        <v>10</v>
      </c>
    </row>
    <row r="417" spans="1:26" x14ac:dyDescent="0.3">
      <c r="A417">
        <v>24</v>
      </c>
      <c r="B417">
        <v>105</v>
      </c>
      <c r="C417" t="s">
        <v>26</v>
      </c>
      <c r="D417">
        <v>6.1025999999999998</v>
      </c>
      <c r="E417">
        <v>16.39</v>
      </c>
      <c r="F417">
        <v>13.09</v>
      </c>
      <c r="G417">
        <v>43.64</v>
      </c>
      <c r="H417">
        <v>0.57999999999999996</v>
      </c>
      <c r="I417">
        <v>18</v>
      </c>
      <c r="J417">
        <v>213.61</v>
      </c>
      <c r="K417">
        <v>55.27</v>
      </c>
      <c r="L417">
        <v>7</v>
      </c>
      <c r="M417">
        <v>16</v>
      </c>
      <c r="N417">
        <v>46.34</v>
      </c>
      <c r="O417">
        <v>26579.47</v>
      </c>
      <c r="P417">
        <v>165.15</v>
      </c>
      <c r="Q417">
        <v>988.2</v>
      </c>
      <c r="R417">
        <v>48.34</v>
      </c>
      <c r="S417">
        <v>35.43</v>
      </c>
      <c r="T417">
        <v>5390.47</v>
      </c>
      <c r="U417">
        <v>0.73</v>
      </c>
      <c r="V417">
        <v>0.87</v>
      </c>
      <c r="W417">
        <v>2.99</v>
      </c>
      <c r="X417">
        <v>0.34</v>
      </c>
      <c r="Y417">
        <v>1</v>
      </c>
      <c r="Z417">
        <v>10</v>
      </c>
    </row>
    <row r="418" spans="1:26" x14ac:dyDescent="0.3">
      <c r="A418">
        <v>25</v>
      </c>
      <c r="B418">
        <v>105</v>
      </c>
      <c r="C418" t="s">
        <v>26</v>
      </c>
      <c r="D418">
        <v>6.1102999999999996</v>
      </c>
      <c r="E418">
        <v>16.37</v>
      </c>
      <c r="F418">
        <v>13.07</v>
      </c>
      <c r="G418">
        <v>43.57</v>
      </c>
      <c r="H418">
        <v>0.6</v>
      </c>
      <c r="I418">
        <v>18</v>
      </c>
      <c r="J418">
        <v>214.02</v>
      </c>
      <c r="K418">
        <v>55.27</v>
      </c>
      <c r="L418">
        <v>7.25</v>
      </c>
      <c r="M418">
        <v>16</v>
      </c>
      <c r="N418">
        <v>46.49</v>
      </c>
      <c r="O418">
        <v>26629.54</v>
      </c>
      <c r="P418">
        <v>162.72</v>
      </c>
      <c r="Q418">
        <v>988.08</v>
      </c>
      <c r="R418">
        <v>47.62</v>
      </c>
      <c r="S418">
        <v>35.43</v>
      </c>
      <c r="T418">
        <v>5030.95</v>
      </c>
      <c r="U418">
        <v>0.74</v>
      </c>
      <c r="V418">
        <v>0.87</v>
      </c>
      <c r="W418">
        <v>2.99</v>
      </c>
      <c r="X418">
        <v>0.32</v>
      </c>
      <c r="Y418">
        <v>1</v>
      </c>
      <c r="Z418">
        <v>10</v>
      </c>
    </row>
    <row r="419" spans="1:26" x14ac:dyDescent="0.3">
      <c r="A419">
        <v>26</v>
      </c>
      <c r="B419">
        <v>105</v>
      </c>
      <c r="C419" t="s">
        <v>26</v>
      </c>
      <c r="D419">
        <v>6.1253000000000002</v>
      </c>
      <c r="E419">
        <v>16.329999999999998</v>
      </c>
      <c r="F419">
        <v>13.07</v>
      </c>
      <c r="G419">
        <v>46.14</v>
      </c>
      <c r="H419">
        <v>0.62</v>
      </c>
      <c r="I419">
        <v>17</v>
      </c>
      <c r="J419">
        <v>214.42</v>
      </c>
      <c r="K419">
        <v>55.27</v>
      </c>
      <c r="L419">
        <v>7.5</v>
      </c>
      <c r="M419">
        <v>15</v>
      </c>
      <c r="N419">
        <v>46.65</v>
      </c>
      <c r="O419">
        <v>26679.66</v>
      </c>
      <c r="P419">
        <v>161.93</v>
      </c>
      <c r="Q419">
        <v>988.13</v>
      </c>
      <c r="R419">
        <v>47.79</v>
      </c>
      <c r="S419">
        <v>35.43</v>
      </c>
      <c r="T419">
        <v>5122.18</v>
      </c>
      <c r="U419">
        <v>0.74</v>
      </c>
      <c r="V419">
        <v>0.87</v>
      </c>
      <c r="W419">
        <v>2.99</v>
      </c>
      <c r="X419">
        <v>0.32</v>
      </c>
      <c r="Y419">
        <v>1</v>
      </c>
      <c r="Z419">
        <v>10</v>
      </c>
    </row>
    <row r="420" spans="1:26" x14ac:dyDescent="0.3">
      <c r="A420">
        <v>27</v>
      </c>
      <c r="B420">
        <v>105</v>
      </c>
      <c r="C420" t="s">
        <v>26</v>
      </c>
      <c r="D420">
        <v>6.1505000000000001</v>
      </c>
      <c r="E420">
        <v>16.260000000000002</v>
      </c>
      <c r="F420">
        <v>13.05</v>
      </c>
      <c r="G420">
        <v>48.92</v>
      </c>
      <c r="H420">
        <v>0.64</v>
      </c>
      <c r="I420">
        <v>16</v>
      </c>
      <c r="J420">
        <v>214.83</v>
      </c>
      <c r="K420">
        <v>55.27</v>
      </c>
      <c r="L420">
        <v>7.75</v>
      </c>
      <c r="M420">
        <v>14</v>
      </c>
      <c r="N420">
        <v>46.81</v>
      </c>
      <c r="O420">
        <v>26729.83</v>
      </c>
      <c r="P420">
        <v>160.82</v>
      </c>
      <c r="Q420">
        <v>988.09</v>
      </c>
      <c r="R420">
        <v>46.8</v>
      </c>
      <c r="S420">
        <v>35.43</v>
      </c>
      <c r="T420">
        <v>4633.4399999999996</v>
      </c>
      <c r="U420">
        <v>0.76</v>
      </c>
      <c r="V420">
        <v>0.87</v>
      </c>
      <c r="W420">
        <v>2.99</v>
      </c>
      <c r="X420">
        <v>0.28999999999999998</v>
      </c>
      <c r="Y420">
        <v>1</v>
      </c>
      <c r="Z420">
        <v>10</v>
      </c>
    </row>
    <row r="421" spans="1:26" x14ac:dyDescent="0.3">
      <c r="A421">
        <v>28</v>
      </c>
      <c r="B421">
        <v>105</v>
      </c>
      <c r="C421" t="s">
        <v>26</v>
      </c>
      <c r="D421">
        <v>6.1436999999999999</v>
      </c>
      <c r="E421">
        <v>16.28</v>
      </c>
      <c r="F421">
        <v>13.06</v>
      </c>
      <c r="G421">
        <v>48.99</v>
      </c>
      <c r="H421">
        <v>0.66</v>
      </c>
      <c r="I421">
        <v>16</v>
      </c>
      <c r="J421">
        <v>215.24</v>
      </c>
      <c r="K421">
        <v>55.27</v>
      </c>
      <c r="L421">
        <v>8</v>
      </c>
      <c r="M421">
        <v>14</v>
      </c>
      <c r="N421">
        <v>46.97</v>
      </c>
      <c r="O421">
        <v>26780.06</v>
      </c>
      <c r="P421">
        <v>160.34</v>
      </c>
      <c r="Q421">
        <v>988.15</v>
      </c>
      <c r="R421">
        <v>47.42</v>
      </c>
      <c r="S421">
        <v>35.43</v>
      </c>
      <c r="T421">
        <v>4941.46</v>
      </c>
      <c r="U421">
        <v>0.75</v>
      </c>
      <c r="V421">
        <v>0.87</v>
      </c>
      <c r="W421">
        <v>2.99</v>
      </c>
      <c r="X421">
        <v>0.31</v>
      </c>
      <c r="Y421">
        <v>1</v>
      </c>
      <c r="Z421">
        <v>10</v>
      </c>
    </row>
    <row r="422" spans="1:26" x14ac:dyDescent="0.3">
      <c r="A422">
        <v>29</v>
      </c>
      <c r="B422">
        <v>105</v>
      </c>
      <c r="C422" t="s">
        <v>26</v>
      </c>
      <c r="D422">
        <v>6.1657999999999999</v>
      </c>
      <c r="E422">
        <v>16.22</v>
      </c>
      <c r="F422">
        <v>13.05</v>
      </c>
      <c r="G422">
        <v>52.18</v>
      </c>
      <c r="H422">
        <v>0.68</v>
      </c>
      <c r="I422">
        <v>15</v>
      </c>
      <c r="J422">
        <v>215.65</v>
      </c>
      <c r="K422">
        <v>55.27</v>
      </c>
      <c r="L422">
        <v>8.25</v>
      </c>
      <c r="M422">
        <v>13</v>
      </c>
      <c r="N422">
        <v>47.12</v>
      </c>
      <c r="O422">
        <v>26830.34</v>
      </c>
      <c r="P422">
        <v>158.84</v>
      </c>
      <c r="Q422">
        <v>988.09</v>
      </c>
      <c r="R422">
        <v>46.71</v>
      </c>
      <c r="S422">
        <v>35.43</v>
      </c>
      <c r="T422">
        <v>4590.9399999999996</v>
      </c>
      <c r="U422">
        <v>0.76</v>
      </c>
      <c r="V422">
        <v>0.87</v>
      </c>
      <c r="W422">
        <v>2.99</v>
      </c>
      <c r="X422">
        <v>0.28999999999999998</v>
      </c>
      <c r="Y422">
        <v>1</v>
      </c>
      <c r="Z422">
        <v>10</v>
      </c>
    </row>
    <row r="423" spans="1:26" x14ac:dyDescent="0.3">
      <c r="A423">
        <v>30</v>
      </c>
      <c r="B423">
        <v>105</v>
      </c>
      <c r="C423" t="s">
        <v>26</v>
      </c>
      <c r="D423">
        <v>6.1726999999999999</v>
      </c>
      <c r="E423">
        <v>16.2</v>
      </c>
      <c r="F423">
        <v>13.03</v>
      </c>
      <c r="G423">
        <v>52.11</v>
      </c>
      <c r="H423">
        <v>0.7</v>
      </c>
      <c r="I423">
        <v>15</v>
      </c>
      <c r="J423">
        <v>216.05</v>
      </c>
      <c r="K423">
        <v>55.27</v>
      </c>
      <c r="L423">
        <v>8.5</v>
      </c>
      <c r="M423">
        <v>13</v>
      </c>
      <c r="N423">
        <v>47.28</v>
      </c>
      <c r="O423">
        <v>26880.68</v>
      </c>
      <c r="P423">
        <v>157.78</v>
      </c>
      <c r="Q423">
        <v>988.22</v>
      </c>
      <c r="R423">
        <v>46.18</v>
      </c>
      <c r="S423">
        <v>35.43</v>
      </c>
      <c r="T423">
        <v>4327</v>
      </c>
      <c r="U423">
        <v>0.77</v>
      </c>
      <c r="V423">
        <v>0.87</v>
      </c>
      <c r="W423">
        <v>2.99</v>
      </c>
      <c r="X423">
        <v>0.27</v>
      </c>
      <c r="Y423">
        <v>1</v>
      </c>
      <c r="Z423">
        <v>10</v>
      </c>
    </row>
    <row r="424" spans="1:26" x14ac:dyDescent="0.3">
      <c r="A424">
        <v>31</v>
      </c>
      <c r="B424">
        <v>105</v>
      </c>
      <c r="C424" t="s">
        <v>26</v>
      </c>
      <c r="D424">
        <v>6.1954000000000002</v>
      </c>
      <c r="E424">
        <v>16.14</v>
      </c>
      <c r="F424">
        <v>13.01</v>
      </c>
      <c r="G424">
        <v>55.75</v>
      </c>
      <c r="H424">
        <v>0.72</v>
      </c>
      <c r="I424">
        <v>14</v>
      </c>
      <c r="J424">
        <v>216.46</v>
      </c>
      <c r="K424">
        <v>55.27</v>
      </c>
      <c r="L424">
        <v>8.75</v>
      </c>
      <c r="M424">
        <v>12</v>
      </c>
      <c r="N424">
        <v>47.44</v>
      </c>
      <c r="O424">
        <v>26931.07</v>
      </c>
      <c r="P424">
        <v>156.19</v>
      </c>
      <c r="Q424">
        <v>988.14</v>
      </c>
      <c r="R424">
        <v>45.64</v>
      </c>
      <c r="S424">
        <v>35.43</v>
      </c>
      <c r="T424">
        <v>4060.65</v>
      </c>
      <c r="U424">
        <v>0.78</v>
      </c>
      <c r="V424">
        <v>0.88</v>
      </c>
      <c r="W424">
        <v>2.99</v>
      </c>
      <c r="X424">
        <v>0.25</v>
      </c>
      <c r="Y424">
        <v>1</v>
      </c>
      <c r="Z424">
        <v>10</v>
      </c>
    </row>
    <row r="425" spans="1:26" x14ac:dyDescent="0.3">
      <c r="A425">
        <v>32</v>
      </c>
      <c r="B425">
        <v>105</v>
      </c>
      <c r="C425" t="s">
        <v>26</v>
      </c>
      <c r="D425">
        <v>6.1992000000000003</v>
      </c>
      <c r="E425">
        <v>16.13</v>
      </c>
      <c r="F425">
        <v>13</v>
      </c>
      <c r="G425">
        <v>55.71</v>
      </c>
      <c r="H425">
        <v>0.74</v>
      </c>
      <c r="I425">
        <v>14</v>
      </c>
      <c r="J425">
        <v>216.87</v>
      </c>
      <c r="K425">
        <v>55.27</v>
      </c>
      <c r="L425">
        <v>9</v>
      </c>
      <c r="M425">
        <v>12</v>
      </c>
      <c r="N425">
        <v>47.6</v>
      </c>
      <c r="O425">
        <v>26981.51</v>
      </c>
      <c r="P425">
        <v>155.13</v>
      </c>
      <c r="Q425">
        <v>988.13</v>
      </c>
      <c r="R425">
        <v>45.27</v>
      </c>
      <c r="S425">
        <v>35.43</v>
      </c>
      <c r="T425">
        <v>3875.39</v>
      </c>
      <c r="U425">
        <v>0.78</v>
      </c>
      <c r="V425">
        <v>0.88</v>
      </c>
      <c r="W425">
        <v>2.99</v>
      </c>
      <c r="X425">
        <v>0.24</v>
      </c>
      <c r="Y425">
        <v>1</v>
      </c>
      <c r="Z425">
        <v>10</v>
      </c>
    </row>
    <row r="426" spans="1:26" x14ac:dyDescent="0.3">
      <c r="A426">
        <v>33</v>
      </c>
      <c r="B426">
        <v>105</v>
      </c>
      <c r="C426" t="s">
        <v>26</v>
      </c>
      <c r="D426">
        <v>6.2172999999999998</v>
      </c>
      <c r="E426">
        <v>16.079999999999998</v>
      </c>
      <c r="F426">
        <v>12.99</v>
      </c>
      <c r="G426">
        <v>59.96</v>
      </c>
      <c r="H426">
        <v>0.76</v>
      </c>
      <c r="I426">
        <v>13</v>
      </c>
      <c r="J426">
        <v>217.28</v>
      </c>
      <c r="K426">
        <v>55.27</v>
      </c>
      <c r="L426">
        <v>9.25</v>
      </c>
      <c r="M426">
        <v>11</v>
      </c>
      <c r="N426">
        <v>47.76</v>
      </c>
      <c r="O426">
        <v>27032.02</v>
      </c>
      <c r="P426">
        <v>153.35</v>
      </c>
      <c r="Q426">
        <v>988.08</v>
      </c>
      <c r="R426">
        <v>45.28</v>
      </c>
      <c r="S426">
        <v>35.43</v>
      </c>
      <c r="T426">
        <v>3886.01</v>
      </c>
      <c r="U426">
        <v>0.78</v>
      </c>
      <c r="V426">
        <v>0.88</v>
      </c>
      <c r="W426">
        <v>2.98</v>
      </c>
      <c r="X426">
        <v>0.24</v>
      </c>
      <c r="Y426">
        <v>1</v>
      </c>
      <c r="Z426">
        <v>10</v>
      </c>
    </row>
    <row r="427" spans="1:26" x14ac:dyDescent="0.3">
      <c r="A427">
        <v>34</v>
      </c>
      <c r="B427">
        <v>105</v>
      </c>
      <c r="C427" t="s">
        <v>26</v>
      </c>
      <c r="D427">
        <v>6.2171000000000003</v>
      </c>
      <c r="E427">
        <v>16.079999999999998</v>
      </c>
      <c r="F427">
        <v>12.99</v>
      </c>
      <c r="G427">
        <v>59.97</v>
      </c>
      <c r="H427">
        <v>0.78</v>
      </c>
      <c r="I427">
        <v>13</v>
      </c>
      <c r="J427">
        <v>217.69</v>
      </c>
      <c r="K427">
        <v>55.27</v>
      </c>
      <c r="L427">
        <v>9.5</v>
      </c>
      <c r="M427">
        <v>11</v>
      </c>
      <c r="N427">
        <v>47.92</v>
      </c>
      <c r="O427">
        <v>27082.57</v>
      </c>
      <c r="P427">
        <v>152.41</v>
      </c>
      <c r="Q427">
        <v>988.15</v>
      </c>
      <c r="R427">
        <v>45.11</v>
      </c>
      <c r="S427">
        <v>35.43</v>
      </c>
      <c r="T427">
        <v>3803.09</v>
      </c>
      <c r="U427">
        <v>0.79</v>
      </c>
      <c r="V427">
        <v>0.88</v>
      </c>
      <c r="W427">
        <v>2.99</v>
      </c>
      <c r="X427">
        <v>0.24</v>
      </c>
      <c r="Y427">
        <v>1</v>
      </c>
      <c r="Z427">
        <v>10</v>
      </c>
    </row>
    <row r="428" spans="1:26" x14ac:dyDescent="0.3">
      <c r="A428">
        <v>35</v>
      </c>
      <c r="B428">
        <v>105</v>
      </c>
      <c r="C428" t="s">
        <v>26</v>
      </c>
      <c r="D428">
        <v>6.2390999999999996</v>
      </c>
      <c r="E428">
        <v>16.03</v>
      </c>
      <c r="F428">
        <v>12.98</v>
      </c>
      <c r="G428">
        <v>64.88</v>
      </c>
      <c r="H428">
        <v>0.79</v>
      </c>
      <c r="I428">
        <v>12</v>
      </c>
      <c r="J428">
        <v>218.1</v>
      </c>
      <c r="K428">
        <v>55.27</v>
      </c>
      <c r="L428">
        <v>9.75</v>
      </c>
      <c r="M428">
        <v>10</v>
      </c>
      <c r="N428">
        <v>48.08</v>
      </c>
      <c r="O428">
        <v>27133.18</v>
      </c>
      <c r="P428">
        <v>150</v>
      </c>
      <c r="Q428">
        <v>988.08</v>
      </c>
      <c r="R428">
        <v>44.51</v>
      </c>
      <c r="S428">
        <v>35.43</v>
      </c>
      <c r="T428">
        <v>3506.85</v>
      </c>
      <c r="U428">
        <v>0.8</v>
      </c>
      <c r="V428">
        <v>0.88</v>
      </c>
      <c r="W428">
        <v>2.99</v>
      </c>
      <c r="X428">
        <v>0.22</v>
      </c>
      <c r="Y428">
        <v>1</v>
      </c>
      <c r="Z428">
        <v>10</v>
      </c>
    </row>
    <row r="429" spans="1:26" x14ac:dyDescent="0.3">
      <c r="A429">
        <v>36</v>
      </c>
      <c r="B429">
        <v>105</v>
      </c>
      <c r="C429" t="s">
        <v>26</v>
      </c>
      <c r="D429">
        <v>6.2405999999999997</v>
      </c>
      <c r="E429">
        <v>16.02</v>
      </c>
      <c r="F429">
        <v>12.97</v>
      </c>
      <c r="G429">
        <v>64.86</v>
      </c>
      <c r="H429">
        <v>0.81</v>
      </c>
      <c r="I429">
        <v>12</v>
      </c>
      <c r="J429">
        <v>218.51</v>
      </c>
      <c r="K429">
        <v>55.27</v>
      </c>
      <c r="L429">
        <v>10</v>
      </c>
      <c r="M429">
        <v>10</v>
      </c>
      <c r="N429">
        <v>48.24</v>
      </c>
      <c r="O429">
        <v>27183.85</v>
      </c>
      <c r="P429">
        <v>148.97999999999999</v>
      </c>
      <c r="Q429">
        <v>988.08</v>
      </c>
      <c r="R429">
        <v>44.56</v>
      </c>
      <c r="S429">
        <v>35.43</v>
      </c>
      <c r="T429">
        <v>3530.96</v>
      </c>
      <c r="U429">
        <v>0.8</v>
      </c>
      <c r="V429">
        <v>0.88</v>
      </c>
      <c r="W429">
        <v>2.98</v>
      </c>
      <c r="X429">
        <v>0.22</v>
      </c>
      <c r="Y429">
        <v>1</v>
      </c>
      <c r="Z429">
        <v>10</v>
      </c>
    </row>
    <row r="430" spans="1:26" x14ac:dyDescent="0.3">
      <c r="A430">
        <v>37</v>
      </c>
      <c r="B430">
        <v>105</v>
      </c>
      <c r="C430" t="s">
        <v>26</v>
      </c>
      <c r="D430">
        <v>6.2434000000000003</v>
      </c>
      <c r="E430">
        <v>16.02</v>
      </c>
      <c r="F430">
        <v>12.97</v>
      </c>
      <c r="G430">
        <v>64.83</v>
      </c>
      <c r="H430">
        <v>0.83</v>
      </c>
      <c r="I430">
        <v>12</v>
      </c>
      <c r="J430">
        <v>218.92</v>
      </c>
      <c r="K430">
        <v>55.27</v>
      </c>
      <c r="L430">
        <v>10.25</v>
      </c>
      <c r="M430">
        <v>9</v>
      </c>
      <c r="N430">
        <v>48.4</v>
      </c>
      <c r="O430">
        <v>27234.57</v>
      </c>
      <c r="P430">
        <v>148.31</v>
      </c>
      <c r="Q430">
        <v>988.08</v>
      </c>
      <c r="R430">
        <v>44.27</v>
      </c>
      <c r="S430">
        <v>35.43</v>
      </c>
      <c r="T430">
        <v>3384.45</v>
      </c>
      <c r="U430">
        <v>0.8</v>
      </c>
      <c r="V430">
        <v>0.88</v>
      </c>
      <c r="W430">
        <v>2.98</v>
      </c>
      <c r="X430">
        <v>0.21</v>
      </c>
      <c r="Y430">
        <v>1</v>
      </c>
      <c r="Z430">
        <v>10</v>
      </c>
    </row>
    <row r="431" spans="1:26" x14ac:dyDescent="0.3">
      <c r="A431">
        <v>38</v>
      </c>
      <c r="B431">
        <v>105</v>
      </c>
      <c r="C431" t="s">
        <v>26</v>
      </c>
      <c r="D431">
        <v>6.2401</v>
      </c>
      <c r="E431">
        <v>16.03</v>
      </c>
      <c r="F431">
        <v>12.97</v>
      </c>
      <c r="G431">
        <v>64.87</v>
      </c>
      <c r="H431">
        <v>0.85</v>
      </c>
      <c r="I431">
        <v>12</v>
      </c>
      <c r="J431">
        <v>219.33</v>
      </c>
      <c r="K431">
        <v>55.27</v>
      </c>
      <c r="L431">
        <v>10.5</v>
      </c>
      <c r="M431">
        <v>8</v>
      </c>
      <c r="N431">
        <v>48.56</v>
      </c>
      <c r="O431">
        <v>27285.35</v>
      </c>
      <c r="P431">
        <v>146.69</v>
      </c>
      <c r="Q431">
        <v>988.08</v>
      </c>
      <c r="R431">
        <v>44.52</v>
      </c>
      <c r="S431">
        <v>35.43</v>
      </c>
      <c r="T431">
        <v>3511.97</v>
      </c>
      <c r="U431">
        <v>0.8</v>
      </c>
      <c r="V431">
        <v>0.88</v>
      </c>
      <c r="W431">
        <v>2.99</v>
      </c>
      <c r="X431">
        <v>0.22</v>
      </c>
      <c r="Y431">
        <v>1</v>
      </c>
      <c r="Z431">
        <v>10</v>
      </c>
    </row>
    <row r="432" spans="1:26" x14ac:dyDescent="0.3">
      <c r="A432">
        <v>39</v>
      </c>
      <c r="B432">
        <v>105</v>
      </c>
      <c r="C432" t="s">
        <v>26</v>
      </c>
      <c r="D432">
        <v>6.2607999999999997</v>
      </c>
      <c r="E432">
        <v>15.97</v>
      </c>
      <c r="F432">
        <v>12.96</v>
      </c>
      <c r="G432">
        <v>70.7</v>
      </c>
      <c r="H432">
        <v>0.87</v>
      </c>
      <c r="I432">
        <v>11</v>
      </c>
      <c r="J432">
        <v>219.75</v>
      </c>
      <c r="K432">
        <v>55.27</v>
      </c>
      <c r="L432">
        <v>10.75</v>
      </c>
      <c r="M432">
        <v>5</v>
      </c>
      <c r="N432">
        <v>48.72</v>
      </c>
      <c r="O432">
        <v>27336.19</v>
      </c>
      <c r="P432">
        <v>146.37</v>
      </c>
      <c r="Q432">
        <v>988.12</v>
      </c>
      <c r="R432">
        <v>44.13</v>
      </c>
      <c r="S432">
        <v>35.43</v>
      </c>
      <c r="T432">
        <v>3319.33</v>
      </c>
      <c r="U432">
        <v>0.8</v>
      </c>
      <c r="V432">
        <v>0.88</v>
      </c>
      <c r="W432">
        <v>2.99</v>
      </c>
      <c r="X432">
        <v>0.21</v>
      </c>
      <c r="Y432">
        <v>1</v>
      </c>
      <c r="Z432">
        <v>10</v>
      </c>
    </row>
    <row r="433" spans="1:26" x14ac:dyDescent="0.3">
      <c r="A433">
        <v>40</v>
      </c>
      <c r="B433">
        <v>105</v>
      </c>
      <c r="C433" t="s">
        <v>26</v>
      </c>
      <c r="D433">
        <v>6.2591000000000001</v>
      </c>
      <c r="E433">
        <v>15.98</v>
      </c>
      <c r="F433">
        <v>12.97</v>
      </c>
      <c r="G433">
        <v>70.72</v>
      </c>
      <c r="H433">
        <v>0.89</v>
      </c>
      <c r="I433">
        <v>11</v>
      </c>
      <c r="J433">
        <v>220.16</v>
      </c>
      <c r="K433">
        <v>55.27</v>
      </c>
      <c r="L433">
        <v>11</v>
      </c>
      <c r="M433">
        <v>4</v>
      </c>
      <c r="N433">
        <v>48.89</v>
      </c>
      <c r="O433">
        <v>27387.08</v>
      </c>
      <c r="P433">
        <v>145.85</v>
      </c>
      <c r="Q433">
        <v>988.13</v>
      </c>
      <c r="R433">
        <v>44.1</v>
      </c>
      <c r="S433">
        <v>35.43</v>
      </c>
      <c r="T433">
        <v>3305.68</v>
      </c>
      <c r="U433">
        <v>0.8</v>
      </c>
      <c r="V433">
        <v>0.88</v>
      </c>
      <c r="W433">
        <v>2.99</v>
      </c>
      <c r="X433">
        <v>0.21</v>
      </c>
      <c r="Y433">
        <v>1</v>
      </c>
      <c r="Z433">
        <v>10</v>
      </c>
    </row>
    <row r="434" spans="1:26" x14ac:dyDescent="0.3">
      <c r="A434">
        <v>41</v>
      </c>
      <c r="B434">
        <v>105</v>
      </c>
      <c r="C434" t="s">
        <v>26</v>
      </c>
      <c r="D434">
        <v>6.2554999999999996</v>
      </c>
      <c r="E434">
        <v>15.99</v>
      </c>
      <c r="F434">
        <v>12.97</v>
      </c>
      <c r="G434">
        <v>70.77</v>
      </c>
      <c r="H434">
        <v>0.91</v>
      </c>
      <c r="I434">
        <v>11</v>
      </c>
      <c r="J434">
        <v>220.57</v>
      </c>
      <c r="K434">
        <v>55.27</v>
      </c>
      <c r="L434">
        <v>11.25</v>
      </c>
      <c r="M434">
        <v>3</v>
      </c>
      <c r="N434">
        <v>49.05</v>
      </c>
      <c r="O434">
        <v>27438.03</v>
      </c>
      <c r="P434">
        <v>145.82</v>
      </c>
      <c r="Q434">
        <v>988.11</v>
      </c>
      <c r="R434">
        <v>44.51</v>
      </c>
      <c r="S434">
        <v>35.43</v>
      </c>
      <c r="T434">
        <v>3512.76</v>
      </c>
      <c r="U434">
        <v>0.8</v>
      </c>
      <c r="V434">
        <v>0.88</v>
      </c>
      <c r="W434">
        <v>2.99</v>
      </c>
      <c r="X434">
        <v>0.22</v>
      </c>
      <c r="Y434">
        <v>1</v>
      </c>
      <c r="Z434">
        <v>10</v>
      </c>
    </row>
    <row r="435" spans="1:26" x14ac:dyDescent="0.3">
      <c r="A435">
        <v>42</v>
      </c>
      <c r="B435">
        <v>105</v>
      </c>
      <c r="C435" t="s">
        <v>26</v>
      </c>
      <c r="D435">
        <v>6.2549000000000001</v>
      </c>
      <c r="E435">
        <v>15.99</v>
      </c>
      <c r="F435">
        <v>12.98</v>
      </c>
      <c r="G435">
        <v>70.78</v>
      </c>
      <c r="H435">
        <v>0.92</v>
      </c>
      <c r="I435">
        <v>11</v>
      </c>
      <c r="J435">
        <v>220.99</v>
      </c>
      <c r="K435">
        <v>55.27</v>
      </c>
      <c r="L435">
        <v>11.5</v>
      </c>
      <c r="M435">
        <v>0</v>
      </c>
      <c r="N435">
        <v>49.21</v>
      </c>
      <c r="O435">
        <v>27489.03</v>
      </c>
      <c r="P435">
        <v>145.88</v>
      </c>
      <c r="Q435">
        <v>988.08</v>
      </c>
      <c r="R435">
        <v>44.37</v>
      </c>
      <c r="S435">
        <v>35.43</v>
      </c>
      <c r="T435">
        <v>3442.42</v>
      </c>
      <c r="U435">
        <v>0.8</v>
      </c>
      <c r="V435">
        <v>0.88</v>
      </c>
      <c r="W435">
        <v>2.99</v>
      </c>
      <c r="X435">
        <v>0.22</v>
      </c>
      <c r="Y435">
        <v>1</v>
      </c>
      <c r="Z435">
        <v>10</v>
      </c>
    </row>
    <row r="436" spans="1:26" x14ac:dyDescent="0.3">
      <c r="A436">
        <v>0</v>
      </c>
      <c r="B436">
        <v>60</v>
      </c>
      <c r="C436" t="s">
        <v>26</v>
      </c>
      <c r="D436">
        <v>5.0082000000000004</v>
      </c>
      <c r="E436">
        <v>19.97</v>
      </c>
      <c r="F436">
        <v>15</v>
      </c>
      <c r="G436">
        <v>8.11</v>
      </c>
      <c r="H436">
        <v>0.14000000000000001</v>
      </c>
      <c r="I436">
        <v>111</v>
      </c>
      <c r="J436">
        <v>124.63</v>
      </c>
      <c r="K436">
        <v>45</v>
      </c>
      <c r="L436">
        <v>1</v>
      </c>
      <c r="M436">
        <v>109</v>
      </c>
      <c r="N436">
        <v>18.64</v>
      </c>
      <c r="O436">
        <v>15605.44</v>
      </c>
      <c r="P436">
        <v>153.25</v>
      </c>
      <c r="Q436">
        <v>988.7</v>
      </c>
      <c r="R436">
        <v>107.48</v>
      </c>
      <c r="S436">
        <v>35.43</v>
      </c>
      <c r="T436">
        <v>34494.18</v>
      </c>
      <c r="U436">
        <v>0.33</v>
      </c>
      <c r="V436">
        <v>0.76</v>
      </c>
      <c r="W436">
        <v>3.15</v>
      </c>
      <c r="X436">
        <v>2.2400000000000002</v>
      </c>
      <c r="Y436">
        <v>1</v>
      </c>
      <c r="Z436">
        <v>10</v>
      </c>
    </row>
    <row r="437" spans="1:26" x14ac:dyDescent="0.3">
      <c r="A437">
        <v>1</v>
      </c>
      <c r="B437">
        <v>60</v>
      </c>
      <c r="C437" t="s">
        <v>26</v>
      </c>
      <c r="D437">
        <v>5.3333000000000004</v>
      </c>
      <c r="E437">
        <v>18.75</v>
      </c>
      <c r="F437">
        <v>14.45</v>
      </c>
      <c r="G437">
        <v>10.199999999999999</v>
      </c>
      <c r="H437">
        <v>0.18</v>
      </c>
      <c r="I437">
        <v>85</v>
      </c>
      <c r="J437">
        <v>124.96</v>
      </c>
      <c r="K437">
        <v>45</v>
      </c>
      <c r="L437">
        <v>1.25</v>
      </c>
      <c r="M437">
        <v>83</v>
      </c>
      <c r="N437">
        <v>18.71</v>
      </c>
      <c r="O437">
        <v>15645.96</v>
      </c>
      <c r="P437">
        <v>146</v>
      </c>
      <c r="Q437">
        <v>988.29</v>
      </c>
      <c r="R437">
        <v>90.36</v>
      </c>
      <c r="S437">
        <v>35.43</v>
      </c>
      <c r="T437">
        <v>26064.59</v>
      </c>
      <c r="U437">
        <v>0.39</v>
      </c>
      <c r="V437">
        <v>0.79</v>
      </c>
      <c r="W437">
        <v>3.1</v>
      </c>
      <c r="X437">
        <v>1.69</v>
      </c>
      <c r="Y437">
        <v>1</v>
      </c>
      <c r="Z437">
        <v>10</v>
      </c>
    </row>
    <row r="438" spans="1:26" x14ac:dyDescent="0.3">
      <c r="A438">
        <v>2</v>
      </c>
      <c r="B438">
        <v>60</v>
      </c>
      <c r="C438" t="s">
        <v>26</v>
      </c>
      <c r="D438">
        <v>5.5500999999999996</v>
      </c>
      <c r="E438">
        <v>18.02</v>
      </c>
      <c r="F438">
        <v>14.12</v>
      </c>
      <c r="G438">
        <v>12.28</v>
      </c>
      <c r="H438">
        <v>0.21</v>
      </c>
      <c r="I438">
        <v>69</v>
      </c>
      <c r="J438">
        <v>125.29</v>
      </c>
      <c r="K438">
        <v>45</v>
      </c>
      <c r="L438">
        <v>1.5</v>
      </c>
      <c r="M438">
        <v>67</v>
      </c>
      <c r="N438">
        <v>18.79</v>
      </c>
      <c r="O438">
        <v>15686.51</v>
      </c>
      <c r="P438">
        <v>141</v>
      </c>
      <c r="Q438">
        <v>988.3</v>
      </c>
      <c r="R438">
        <v>80.180000000000007</v>
      </c>
      <c r="S438">
        <v>35.43</v>
      </c>
      <c r="T438">
        <v>21054.66</v>
      </c>
      <c r="U438">
        <v>0.44</v>
      </c>
      <c r="V438">
        <v>0.81</v>
      </c>
      <c r="W438">
        <v>3.08</v>
      </c>
      <c r="X438">
        <v>1.37</v>
      </c>
      <c r="Y438">
        <v>1</v>
      </c>
      <c r="Z438">
        <v>10</v>
      </c>
    </row>
    <row r="439" spans="1:26" x14ac:dyDescent="0.3">
      <c r="A439">
        <v>3</v>
      </c>
      <c r="B439">
        <v>60</v>
      </c>
      <c r="C439" t="s">
        <v>26</v>
      </c>
      <c r="D439">
        <v>5.7225999999999999</v>
      </c>
      <c r="E439">
        <v>17.47</v>
      </c>
      <c r="F439">
        <v>13.89</v>
      </c>
      <c r="G439">
        <v>14.62</v>
      </c>
      <c r="H439">
        <v>0.25</v>
      </c>
      <c r="I439">
        <v>57</v>
      </c>
      <c r="J439">
        <v>125.62</v>
      </c>
      <c r="K439">
        <v>45</v>
      </c>
      <c r="L439">
        <v>1.75</v>
      </c>
      <c r="M439">
        <v>55</v>
      </c>
      <c r="N439">
        <v>18.87</v>
      </c>
      <c r="O439">
        <v>15727.09</v>
      </c>
      <c r="P439">
        <v>136.91</v>
      </c>
      <c r="Q439">
        <v>988.27</v>
      </c>
      <c r="R439">
        <v>72.87</v>
      </c>
      <c r="S439">
        <v>35.43</v>
      </c>
      <c r="T439">
        <v>17461.02</v>
      </c>
      <c r="U439">
        <v>0.49</v>
      </c>
      <c r="V439">
        <v>0.82</v>
      </c>
      <c r="W439">
        <v>3.06</v>
      </c>
      <c r="X439">
        <v>1.1299999999999999</v>
      </c>
      <c r="Y439">
        <v>1</v>
      </c>
      <c r="Z439">
        <v>10</v>
      </c>
    </row>
    <row r="440" spans="1:26" x14ac:dyDescent="0.3">
      <c r="A440">
        <v>4</v>
      </c>
      <c r="B440">
        <v>60</v>
      </c>
      <c r="C440" t="s">
        <v>26</v>
      </c>
      <c r="D440">
        <v>5.8464999999999998</v>
      </c>
      <c r="E440">
        <v>17.100000000000001</v>
      </c>
      <c r="F440">
        <v>13.72</v>
      </c>
      <c r="G440">
        <v>16.8</v>
      </c>
      <c r="H440">
        <v>0.28000000000000003</v>
      </c>
      <c r="I440">
        <v>49</v>
      </c>
      <c r="J440">
        <v>125.95</v>
      </c>
      <c r="K440">
        <v>45</v>
      </c>
      <c r="L440">
        <v>2</v>
      </c>
      <c r="M440">
        <v>47</v>
      </c>
      <c r="N440">
        <v>18.95</v>
      </c>
      <c r="O440">
        <v>15767.7</v>
      </c>
      <c r="P440">
        <v>133.66999999999999</v>
      </c>
      <c r="Q440">
        <v>988.26</v>
      </c>
      <c r="R440">
        <v>67.400000000000006</v>
      </c>
      <c r="S440">
        <v>35.43</v>
      </c>
      <c r="T440">
        <v>14765.22</v>
      </c>
      <c r="U440">
        <v>0.53</v>
      </c>
      <c r="V440">
        <v>0.83</v>
      </c>
      <c r="W440">
        <v>3.05</v>
      </c>
      <c r="X440">
        <v>0.96</v>
      </c>
      <c r="Y440">
        <v>1</v>
      </c>
      <c r="Z440">
        <v>10</v>
      </c>
    </row>
    <row r="441" spans="1:26" x14ac:dyDescent="0.3">
      <c r="A441">
        <v>5</v>
      </c>
      <c r="B441">
        <v>60</v>
      </c>
      <c r="C441" t="s">
        <v>26</v>
      </c>
      <c r="D441">
        <v>5.94</v>
      </c>
      <c r="E441">
        <v>16.84</v>
      </c>
      <c r="F441">
        <v>13.6</v>
      </c>
      <c r="G441">
        <v>18.98</v>
      </c>
      <c r="H441">
        <v>0.31</v>
      </c>
      <c r="I441">
        <v>43</v>
      </c>
      <c r="J441">
        <v>126.28</v>
      </c>
      <c r="K441">
        <v>45</v>
      </c>
      <c r="L441">
        <v>2.25</v>
      </c>
      <c r="M441">
        <v>41</v>
      </c>
      <c r="N441">
        <v>19.03</v>
      </c>
      <c r="O441">
        <v>15808.34</v>
      </c>
      <c r="P441">
        <v>130.83000000000001</v>
      </c>
      <c r="Q441">
        <v>988.1</v>
      </c>
      <c r="R441">
        <v>63.96</v>
      </c>
      <c r="S441">
        <v>35.43</v>
      </c>
      <c r="T441">
        <v>13077.22</v>
      </c>
      <c r="U441">
        <v>0.55000000000000004</v>
      </c>
      <c r="V441">
        <v>0.84</v>
      </c>
      <c r="W441">
        <v>3.04</v>
      </c>
      <c r="X441">
        <v>0.85</v>
      </c>
      <c r="Y441">
        <v>1</v>
      </c>
      <c r="Z441">
        <v>10</v>
      </c>
    </row>
    <row r="442" spans="1:26" x14ac:dyDescent="0.3">
      <c r="A442">
        <v>6</v>
      </c>
      <c r="B442">
        <v>60</v>
      </c>
      <c r="C442" t="s">
        <v>26</v>
      </c>
      <c r="D442">
        <v>6.0301999999999998</v>
      </c>
      <c r="E442">
        <v>16.579999999999998</v>
      </c>
      <c r="F442">
        <v>13.48</v>
      </c>
      <c r="G442">
        <v>21.28</v>
      </c>
      <c r="H442">
        <v>0.35</v>
      </c>
      <c r="I442">
        <v>38</v>
      </c>
      <c r="J442">
        <v>126.61</v>
      </c>
      <c r="K442">
        <v>45</v>
      </c>
      <c r="L442">
        <v>2.5</v>
      </c>
      <c r="M442">
        <v>36</v>
      </c>
      <c r="N442">
        <v>19.11</v>
      </c>
      <c r="O442">
        <v>15849</v>
      </c>
      <c r="P442">
        <v>127.8</v>
      </c>
      <c r="Q442">
        <v>988.21</v>
      </c>
      <c r="R442">
        <v>60.61</v>
      </c>
      <c r="S442">
        <v>35.43</v>
      </c>
      <c r="T442">
        <v>11428.46</v>
      </c>
      <c r="U442">
        <v>0.57999999999999996</v>
      </c>
      <c r="V442">
        <v>0.85</v>
      </c>
      <c r="W442">
        <v>3.02</v>
      </c>
      <c r="X442">
        <v>0.73</v>
      </c>
      <c r="Y442">
        <v>1</v>
      </c>
      <c r="Z442">
        <v>10</v>
      </c>
    </row>
    <row r="443" spans="1:26" x14ac:dyDescent="0.3">
      <c r="A443">
        <v>7</v>
      </c>
      <c r="B443">
        <v>60</v>
      </c>
      <c r="C443" t="s">
        <v>26</v>
      </c>
      <c r="D443">
        <v>6.0883000000000003</v>
      </c>
      <c r="E443">
        <v>16.420000000000002</v>
      </c>
      <c r="F443">
        <v>13.42</v>
      </c>
      <c r="G443">
        <v>23.69</v>
      </c>
      <c r="H443">
        <v>0.38</v>
      </c>
      <c r="I443">
        <v>34</v>
      </c>
      <c r="J443">
        <v>126.94</v>
      </c>
      <c r="K443">
        <v>45</v>
      </c>
      <c r="L443">
        <v>2.75</v>
      </c>
      <c r="M443">
        <v>32</v>
      </c>
      <c r="N443">
        <v>19.190000000000001</v>
      </c>
      <c r="O443">
        <v>15889.69</v>
      </c>
      <c r="P443">
        <v>125.55</v>
      </c>
      <c r="Q443">
        <v>988.36</v>
      </c>
      <c r="R443">
        <v>58.54</v>
      </c>
      <c r="S443">
        <v>35.43</v>
      </c>
      <c r="T443">
        <v>10410.08</v>
      </c>
      <c r="U443">
        <v>0.61</v>
      </c>
      <c r="V443">
        <v>0.85</v>
      </c>
      <c r="W443">
        <v>3.02</v>
      </c>
      <c r="X443">
        <v>0.67</v>
      </c>
      <c r="Y443">
        <v>1</v>
      </c>
      <c r="Z443">
        <v>10</v>
      </c>
    </row>
    <row r="444" spans="1:26" x14ac:dyDescent="0.3">
      <c r="A444">
        <v>8</v>
      </c>
      <c r="B444">
        <v>60</v>
      </c>
      <c r="C444" t="s">
        <v>26</v>
      </c>
      <c r="D444">
        <v>6.1416000000000004</v>
      </c>
      <c r="E444">
        <v>16.28</v>
      </c>
      <c r="F444">
        <v>13.36</v>
      </c>
      <c r="G444">
        <v>25.85</v>
      </c>
      <c r="H444">
        <v>0.42</v>
      </c>
      <c r="I444">
        <v>31</v>
      </c>
      <c r="J444">
        <v>127.27</v>
      </c>
      <c r="K444">
        <v>45</v>
      </c>
      <c r="L444">
        <v>3</v>
      </c>
      <c r="M444">
        <v>29</v>
      </c>
      <c r="N444">
        <v>19.27</v>
      </c>
      <c r="O444">
        <v>15930.42</v>
      </c>
      <c r="P444">
        <v>123.17</v>
      </c>
      <c r="Q444">
        <v>988.18</v>
      </c>
      <c r="R444">
        <v>56.48</v>
      </c>
      <c r="S444">
        <v>35.43</v>
      </c>
      <c r="T444">
        <v>9393.9500000000007</v>
      </c>
      <c r="U444">
        <v>0.63</v>
      </c>
      <c r="V444">
        <v>0.85</v>
      </c>
      <c r="W444">
        <v>3.02</v>
      </c>
      <c r="X444">
        <v>0.6</v>
      </c>
      <c r="Y444">
        <v>1</v>
      </c>
      <c r="Z444">
        <v>10</v>
      </c>
    </row>
    <row r="445" spans="1:26" x14ac:dyDescent="0.3">
      <c r="A445">
        <v>9</v>
      </c>
      <c r="B445">
        <v>60</v>
      </c>
      <c r="C445" t="s">
        <v>26</v>
      </c>
      <c r="D445">
        <v>6.1944999999999997</v>
      </c>
      <c r="E445">
        <v>16.14</v>
      </c>
      <c r="F445">
        <v>13.3</v>
      </c>
      <c r="G445">
        <v>28.49</v>
      </c>
      <c r="H445">
        <v>0.45</v>
      </c>
      <c r="I445">
        <v>28</v>
      </c>
      <c r="J445">
        <v>127.6</v>
      </c>
      <c r="K445">
        <v>45</v>
      </c>
      <c r="L445">
        <v>3.25</v>
      </c>
      <c r="M445">
        <v>26</v>
      </c>
      <c r="N445">
        <v>19.350000000000001</v>
      </c>
      <c r="O445">
        <v>15971.17</v>
      </c>
      <c r="P445">
        <v>120.46</v>
      </c>
      <c r="Q445">
        <v>988.08</v>
      </c>
      <c r="R445">
        <v>54.55</v>
      </c>
      <c r="S445">
        <v>35.43</v>
      </c>
      <c r="T445">
        <v>8447.82</v>
      </c>
      <c r="U445">
        <v>0.65</v>
      </c>
      <c r="V445">
        <v>0.86</v>
      </c>
      <c r="W445">
        <v>3.01</v>
      </c>
      <c r="X445">
        <v>0.54</v>
      </c>
      <c r="Y445">
        <v>1</v>
      </c>
      <c r="Z445">
        <v>10</v>
      </c>
    </row>
    <row r="446" spans="1:26" x14ac:dyDescent="0.3">
      <c r="A446">
        <v>10</v>
      </c>
      <c r="B446">
        <v>60</v>
      </c>
      <c r="C446" t="s">
        <v>26</v>
      </c>
      <c r="D446">
        <v>6.2545000000000002</v>
      </c>
      <c r="E446">
        <v>15.99</v>
      </c>
      <c r="F446">
        <v>13.22</v>
      </c>
      <c r="G446">
        <v>31.72</v>
      </c>
      <c r="H446">
        <v>0.48</v>
      </c>
      <c r="I446">
        <v>25</v>
      </c>
      <c r="J446">
        <v>127.93</v>
      </c>
      <c r="K446">
        <v>45</v>
      </c>
      <c r="L446">
        <v>3.5</v>
      </c>
      <c r="M446">
        <v>23</v>
      </c>
      <c r="N446">
        <v>19.43</v>
      </c>
      <c r="O446">
        <v>16011.95</v>
      </c>
      <c r="P446">
        <v>117.39</v>
      </c>
      <c r="Q446">
        <v>988.15</v>
      </c>
      <c r="R446">
        <v>52.22</v>
      </c>
      <c r="S446">
        <v>35.43</v>
      </c>
      <c r="T446">
        <v>7295.19</v>
      </c>
      <c r="U446">
        <v>0.68</v>
      </c>
      <c r="V446">
        <v>0.86</v>
      </c>
      <c r="W446">
        <v>3</v>
      </c>
      <c r="X446">
        <v>0.46</v>
      </c>
      <c r="Y446">
        <v>1</v>
      </c>
      <c r="Z446">
        <v>10</v>
      </c>
    </row>
    <row r="447" spans="1:26" x14ac:dyDescent="0.3">
      <c r="A447">
        <v>11</v>
      </c>
      <c r="B447">
        <v>60</v>
      </c>
      <c r="C447" t="s">
        <v>26</v>
      </c>
      <c r="D447">
        <v>6.2647000000000004</v>
      </c>
      <c r="E447">
        <v>15.96</v>
      </c>
      <c r="F447">
        <v>13.22</v>
      </c>
      <c r="G447">
        <v>33.04</v>
      </c>
      <c r="H447">
        <v>0.52</v>
      </c>
      <c r="I447">
        <v>24</v>
      </c>
      <c r="J447">
        <v>128.26</v>
      </c>
      <c r="K447">
        <v>45</v>
      </c>
      <c r="L447">
        <v>3.75</v>
      </c>
      <c r="M447">
        <v>22</v>
      </c>
      <c r="N447">
        <v>19.510000000000002</v>
      </c>
      <c r="O447">
        <v>16052.76</v>
      </c>
      <c r="P447">
        <v>115.81</v>
      </c>
      <c r="Q447">
        <v>988.12</v>
      </c>
      <c r="R447">
        <v>52.13</v>
      </c>
      <c r="S447">
        <v>35.43</v>
      </c>
      <c r="T447">
        <v>7257.1</v>
      </c>
      <c r="U447">
        <v>0.68</v>
      </c>
      <c r="V447">
        <v>0.86</v>
      </c>
      <c r="W447">
        <v>3</v>
      </c>
      <c r="X447">
        <v>0.46</v>
      </c>
      <c r="Y447">
        <v>1</v>
      </c>
      <c r="Z447">
        <v>10</v>
      </c>
    </row>
    <row r="448" spans="1:26" x14ac:dyDescent="0.3">
      <c r="A448">
        <v>12</v>
      </c>
      <c r="B448">
        <v>60</v>
      </c>
      <c r="C448" t="s">
        <v>26</v>
      </c>
      <c r="D448">
        <v>6.2991000000000001</v>
      </c>
      <c r="E448">
        <v>15.88</v>
      </c>
      <c r="F448">
        <v>13.18</v>
      </c>
      <c r="G448">
        <v>35.950000000000003</v>
      </c>
      <c r="H448">
        <v>0.55000000000000004</v>
      </c>
      <c r="I448">
        <v>22</v>
      </c>
      <c r="J448">
        <v>128.59</v>
      </c>
      <c r="K448">
        <v>45</v>
      </c>
      <c r="L448">
        <v>4</v>
      </c>
      <c r="M448">
        <v>20</v>
      </c>
      <c r="N448">
        <v>19.59</v>
      </c>
      <c r="O448">
        <v>16093.6</v>
      </c>
      <c r="P448">
        <v>113.6</v>
      </c>
      <c r="Q448">
        <v>988.17</v>
      </c>
      <c r="R448">
        <v>50.99</v>
      </c>
      <c r="S448">
        <v>35.43</v>
      </c>
      <c r="T448">
        <v>6695.86</v>
      </c>
      <c r="U448">
        <v>0.69</v>
      </c>
      <c r="V448">
        <v>0.86</v>
      </c>
      <c r="W448">
        <v>3</v>
      </c>
      <c r="X448">
        <v>0.43</v>
      </c>
      <c r="Y448">
        <v>1</v>
      </c>
      <c r="Z448">
        <v>10</v>
      </c>
    </row>
    <row r="449" spans="1:26" x14ac:dyDescent="0.3">
      <c r="A449">
        <v>13</v>
      </c>
      <c r="B449">
        <v>60</v>
      </c>
      <c r="C449" t="s">
        <v>26</v>
      </c>
      <c r="D449">
        <v>6.3426</v>
      </c>
      <c r="E449">
        <v>15.77</v>
      </c>
      <c r="F449">
        <v>13.12</v>
      </c>
      <c r="G449">
        <v>39.369999999999997</v>
      </c>
      <c r="H449">
        <v>0.57999999999999996</v>
      </c>
      <c r="I449">
        <v>20</v>
      </c>
      <c r="J449">
        <v>128.91999999999999</v>
      </c>
      <c r="K449">
        <v>45</v>
      </c>
      <c r="L449">
        <v>4.25</v>
      </c>
      <c r="M449">
        <v>16</v>
      </c>
      <c r="N449">
        <v>19.68</v>
      </c>
      <c r="O449">
        <v>16134.46</v>
      </c>
      <c r="P449">
        <v>111.06</v>
      </c>
      <c r="Q449">
        <v>988.14</v>
      </c>
      <c r="R449">
        <v>49.15</v>
      </c>
      <c r="S449">
        <v>35.43</v>
      </c>
      <c r="T449">
        <v>5785.45</v>
      </c>
      <c r="U449">
        <v>0.72</v>
      </c>
      <c r="V449">
        <v>0.87</v>
      </c>
      <c r="W449">
        <v>3</v>
      </c>
      <c r="X449">
        <v>0.37</v>
      </c>
      <c r="Y449">
        <v>1</v>
      </c>
      <c r="Z449">
        <v>10</v>
      </c>
    </row>
    <row r="450" spans="1:26" x14ac:dyDescent="0.3">
      <c r="A450">
        <v>14</v>
      </c>
      <c r="B450">
        <v>60</v>
      </c>
      <c r="C450" t="s">
        <v>26</v>
      </c>
      <c r="D450">
        <v>6.3536999999999999</v>
      </c>
      <c r="E450">
        <v>15.74</v>
      </c>
      <c r="F450">
        <v>13.12</v>
      </c>
      <c r="G450">
        <v>41.44</v>
      </c>
      <c r="H450">
        <v>0.62</v>
      </c>
      <c r="I450">
        <v>19</v>
      </c>
      <c r="J450">
        <v>129.25</v>
      </c>
      <c r="K450">
        <v>45</v>
      </c>
      <c r="L450">
        <v>4.5</v>
      </c>
      <c r="M450">
        <v>11</v>
      </c>
      <c r="N450">
        <v>19.760000000000002</v>
      </c>
      <c r="O450">
        <v>16175.36</v>
      </c>
      <c r="P450">
        <v>109.29</v>
      </c>
      <c r="Q450">
        <v>988.26</v>
      </c>
      <c r="R450">
        <v>48.86</v>
      </c>
      <c r="S450">
        <v>35.43</v>
      </c>
      <c r="T450">
        <v>5644.46</v>
      </c>
      <c r="U450">
        <v>0.73</v>
      </c>
      <c r="V450">
        <v>0.87</v>
      </c>
      <c r="W450">
        <v>3</v>
      </c>
      <c r="X450">
        <v>0.37</v>
      </c>
      <c r="Y450">
        <v>1</v>
      </c>
      <c r="Z450">
        <v>10</v>
      </c>
    </row>
    <row r="451" spans="1:26" x14ac:dyDescent="0.3">
      <c r="A451">
        <v>15</v>
      </c>
      <c r="B451">
        <v>60</v>
      </c>
      <c r="C451" t="s">
        <v>26</v>
      </c>
      <c r="D451">
        <v>6.3672000000000004</v>
      </c>
      <c r="E451">
        <v>15.71</v>
      </c>
      <c r="F451">
        <v>13.11</v>
      </c>
      <c r="G451">
        <v>43.71</v>
      </c>
      <c r="H451">
        <v>0.65</v>
      </c>
      <c r="I451">
        <v>18</v>
      </c>
      <c r="J451">
        <v>129.59</v>
      </c>
      <c r="K451">
        <v>45</v>
      </c>
      <c r="L451">
        <v>4.75</v>
      </c>
      <c r="M451">
        <v>5</v>
      </c>
      <c r="N451">
        <v>19.84</v>
      </c>
      <c r="O451">
        <v>16216.29</v>
      </c>
      <c r="P451">
        <v>108.12</v>
      </c>
      <c r="Q451">
        <v>988.15</v>
      </c>
      <c r="R451">
        <v>48.55</v>
      </c>
      <c r="S451">
        <v>35.43</v>
      </c>
      <c r="T451">
        <v>5494.73</v>
      </c>
      <c r="U451">
        <v>0.73</v>
      </c>
      <c r="V451">
        <v>0.87</v>
      </c>
      <c r="W451">
        <v>3.01</v>
      </c>
      <c r="X451">
        <v>0.36</v>
      </c>
      <c r="Y451">
        <v>1</v>
      </c>
      <c r="Z451">
        <v>10</v>
      </c>
    </row>
    <row r="452" spans="1:26" x14ac:dyDescent="0.3">
      <c r="A452">
        <v>16</v>
      </c>
      <c r="B452">
        <v>60</v>
      </c>
      <c r="C452" t="s">
        <v>26</v>
      </c>
      <c r="D452">
        <v>6.3700999999999999</v>
      </c>
      <c r="E452">
        <v>15.7</v>
      </c>
      <c r="F452">
        <v>13.11</v>
      </c>
      <c r="G452">
        <v>43.69</v>
      </c>
      <c r="H452">
        <v>0.68</v>
      </c>
      <c r="I452">
        <v>18</v>
      </c>
      <c r="J452">
        <v>129.91999999999999</v>
      </c>
      <c r="K452">
        <v>45</v>
      </c>
      <c r="L452">
        <v>5</v>
      </c>
      <c r="M452">
        <v>2</v>
      </c>
      <c r="N452">
        <v>19.920000000000002</v>
      </c>
      <c r="O452">
        <v>16257.24</v>
      </c>
      <c r="P452">
        <v>108.54</v>
      </c>
      <c r="Q452">
        <v>988.17</v>
      </c>
      <c r="R452">
        <v>48.02</v>
      </c>
      <c r="S452">
        <v>35.43</v>
      </c>
      <c r="T452">
        <v>5232.3599999999997</v>
      </c>
      <c r="U452">
        <v>0.74</v>
      </c>
      <c r="V452">
        <v>0.87</v>
      </c>
      <c r="W452">
        <v>3.01</v>
      </c>
      <c r="X452">
        <v>0.35</v>
      </c>
      <c r="Y452">
        <v>1</v>
      </c>
      <c r="Z452">
        <v>10</v>
      </c>
    </row>
    <row r="453" spans="1:26" x14ac:dyDescent="0.3">
      <c r="A453">
        <v>17</v>
      </c>
      <c r="B453">
        <v>60</v>
      </c>
      <c r="C453" t="s">
        <v>26</v>
      </c>
      <c r="D453">
        <v>6.3708</v>
      </c>
      <c r="E453">
        <v>15.7</v>
      </c>
      <c r="F453">
        <v>13.1</v>
      </c>
      <c r="G453">
        <v>43.68</v>
      </c>
      <c r="H453">
        <v>0.71</v>
      </c>
      <c r="I453">
        <v>18</v>
      </c>
      <c r="J453">
        <v>130.25</v>
      </c>
      <c r="K453">
        <v>45</v>
      </c>
      <c r="L453">
        <v>5.25</v>
      </c>
      <c r="M453">
        <v>1</v>
      </c>
      <c r="N453">
        <v>20</v>
      </c>
      <c r="O453">
        <v>16298.23</v>
      </c>
      <c r="P453">
        <v>108.56</v>
      </c>
      <c r="Q453">
        <v>988.23</v>
      </c>
      <c r="R453">
        <v>48.11</v>
      </c>
      <c r="S453">
        <v>35.43</v>
      </c>
      <c r="T453">
        <v>5274.19</v>
      </c>
      <c r="U453">
        <v>0.74</v>
      </c>
      <c r="V453">
        <v>0.87</v>
      </c>
      <c r="W453">
        <v>3.01</v>
      </c>
      <c r="X453">
        <v>0.35</v>
      </c>
      <c r="Y453">
        <v>1</v>
      </c>
      <c r="Z453">
        <v>10</v>
      </c>
    </row>
    <row r="454" spans="1:26" x14ac:dyDescent="0.3">
      <c r="A454">
        <v>18</v>
      </c>
      <c r="B454">
        <v>60</v>
      </c>
      <c r="C454" t="s">
        <v>26</v>
      </c>
      <c r="D454">
        <v>6.3700999999999999</v>
      </c>
      <c r="E454">
        <v>15.7</v>
      </c>
      <c r="F454">
        <v>13.11</v>
      </c>
      <c r="G454">
        <v>43.69</v>
      </c>
      <c r="H454">
        <v>0.74</v>
      </c>
      <c r="I454">
        <v>18</v>
      </c>
      <c r="J454">
        <v>130.58000000000001</v>
      </c>
      <c r="K454">
        <v>45</v>
      </c>
      <c r="L454">
        <v>5.5</v>
      </c>
      <c r="M454">
        <v>0</v>
      </c>
      <c r="N454">
        <v>20.09</v>
      </c>
      <c r="O454">
        <v>16339.24</v>
      </c>
      <c r="P454">
        <v>108.81</v>
      </c>
      <c r="Q454">
        <v>988.23</v>
      </c>
      <c r="R454">
        <v>48.13</v>
      </c>
      <c r="S454">
        <v>35.43</v>
      </c>
      <c r="T454">
        <v>5286.2</v>
      </c>
      <c r="U454">
        <v>0.74</v>
      </c>
      <c r="V454">
        <v>0.87</v>
      </c>
      <c r="W454">
        <v>3.01</v>
      </c>
      <c r="X454">
        <v>0.35</v>
      </c>
      <c r="Y454">
        <v>1</v>
      </c>
      <c r="Z454">
        <v>10</v>
      </c>
    </row>
    <row r="455" spans="1:26" x14ac:dyDescent="0.3">
      <c r="A455">
        <v>0</v>
      </c>
      <c r="B455">
        <v>135</v>
      </c>
      <c r="C455" t="s">
        <v>26</v>
      </c>
      <c r="D455">
        <v>3.2972000000000001</v>
      </c>
      <c r="E455">
        <v>30.33</v>
      </c>
      <c r="F455">
        <v>17.010000000000002</v>
      </c>
      <c r="G455">
        <v>4.93</v>
      </c>
      <c r="H455">
        <v>7.0000000000000007E-2</v>
      </c>
      <c r="I455">
        <v>207</v>
      </c>
      <c r="J455">
        <v>263.32</v>
      </c>
      <c r="K455">
        <v>59.89</v>
      </c>
      <c r="L455">
        <v>1</v>
      </c>
      <c r="M455">
        <v>205</v>
      </c>
      <c r="N455">
        <v>67.430000000000007</v>
      </c>
      <c r="O455">
        <v>32710.1</v>
      </c>
      <c r="P455">
        <v>286.99</v>
      </c>
      <c r="Q455">
        <v>988.95</v>
      </c>
      <c r="R455">
        <v>170.74</v>
      </c>
      <c r="S455">
        <v>35.43</v>
      </c>
      <c r="T455">
        <v>65648.399999999994</v>
      </c>
      <c r="U455">
        <v>0.21</v>
      </c>
      <c r="V455">
        <v>0.67</v>
      </c>
      <c r="W455">
        <v>3.29</v>
      </c>
      <c r="X455">
        <v>4.25</v>
      </c>
      <c r="Y455">
        <v>1</v>
      </c>
      <c r="Z455">
        <v>10</v>
      </c>
    </row>
    <row r="456" spans="1:26" x14ac:dyDescent="0.3">
      <c r="A456">
        <v>1</v>
      </c>
      <c r="B456">
        <v>135</v>
      </c>
      <c r="C456" t="s">
        <v>26</v>
      </c>
      <c r="D456">
        <v>3.7593999999999999</v>
      </c>
      <c r="E456">
        <v>26.6</v>
      </c>
      <c r="F456">
        <v>15.91</v>
      </c>
      <c r="G456">
        <v>6.16</v>
      </c>
      <c r="H456">
        <v>0.08</v>
      </c>
      <c r="I456">
        <v>155</v>
      </c>
      <c r="J456">
        <v>263.79000000000002</v>
      </c>
      <c r="K456">
        <v>59.89</v>
      </c>
      <c r="L456">
        <v>1.25</v>
      </c>
      <c r="M456">
        <v>153</v>
      </c>
      <c r="N456">
        <v>67.650000000000006</v>
      </c>
      <c r="O456">
        <v>32767.75</v>
      </c>
      <c r="P456">
        <v>267.70999999999998</v>
      </c>
      <c r="Q456">
        <v>988.61</v>
      </c>
      <c r="R456">
        <v>135.99</v>
      </c>
      <c r="S456">
        <v>35.43</v>
      </c>
      <c r="T456">
        <v>48531.63</v>
      </c>
      <c r="U456">
        <v>0.26</v>
      </c>
      <c r="V456">
        <v>0.72</v>
      </c>
      <c r="W456">
        <v>3.22</v>
      </c>
      <c r="X456">
        <v>3.15</v>
      </c>
      <c r="Y456">
        <v>1</v>
      </c>
      <c r="Z456">
        <v>10</v>
      </c>
    </row>
    <row r="457" spans="1:26" x14ac:dyDescent="0.3">
      <c r="A457">
        <v>2</v>
      </c>
      <c r="B457">
        <v>135</v>
      </c>
      <c r="C457" t="s">
        <v>26</v>
      </c>
      <c r="D457">
        <v>4.1140999999999996</v>
      </c>
      <c r="E457">
        <v>24.31</v>
      </c>
      <c r="F457">
        <v>15.24</v>
      </c>
      <c r="G457">
        <v>7.43</v>
      </c>
      <c r="H457">
        <v>0.1</v>
      </c>
      <c r="I457">
        <v>123</v>
      </c>
      <c r="J457">
        <v>264.25</v>
      </c>
      <c r="K457">
        <v>59.89</v>
      </c>
      <c r="L457">
        <v>1.5</v>
      </c>
      <c r="M457">
        <v>121</v>
      </c>
      <c r="N457">
        <v>67.87</v>
      </c>
      <c r="O457">
        <v>32825.49</v>
      </c>
      <c r="P457">
        <v>255.65</v>
      </c>
      <c r="Q457">
        <v>988.35</v>
      </c>
      <c r="R457">
        <v>114.92</v>
      </c>
      <c r="S457">
        <v>35.43</v>
      </c>
      <c r="T457">
        <v>38156.31</v>
      </c>
      <c r="U457">
        <v>0.31</v>
      </c>
      <c r="V457">
        <v>0.75</v>
      </c>
      <c r="W457">
        <v>3.17</v>
      </c>
      <c r="X457">
        <v>2.48</v>
      </c>
      <c r="Y457">
        <v>1</v>
      </c>
      <c r="Z457">
        <v>10</v>
      </c>
    </row>
    <row r="458" spans="1:26" x14ac:dyDescent="0.3">
      <c r="A458">
        <v>3</v>
      </c>
      <c r="B458">
        <v>135</v>
      </c>
      <c r="C458" t="s">
        <v>26</v>
      </c>
      <c r="D458">
        <v>4.3662999999999998</v>
      </c>
      <c r="E458">
        <v>22.9</v>
      </c>
      <c r="F458">
        <v>14.84</v>
      </c>
      <c r="G458">
        <v>8.65</v>
      </c>
      <c r="H458">
        <v>0.12</v>
      </c>
      <c r="I458">
        <v>103</v>
      </c>
      <c r="J458">
        <v>264.72000000000003</v>
      </c>
      <c r="K458">
        <v>59.89</v>
      </c>
      <c r="L458">
        <v>1.75</v>
      </c>
      <c r="M458">
        <v>101</v>
      </c>
      <c r="N458">
        <v>68.09</v>
      </c>
      <c r="O458">
        <v>32883.31</v>
      </c>
      <c r="P458">
        <v>248.41</v>
      </c>
      <c r="Q458">
        <v>988.47</v>
      </c>
      <c r="R458">
        <v>102.18</v>
      </c>
      <c r="S458">
        <v>35.43</v>
      </c>
      <c r="T458">
        <v>31888.55</v>
      </c>
      <c r="U458">
        <v>0.35</v>
      </c>
      <c r="V458">
        <v>0.77</v>
      </c>
      <c r="W458">
        <v>3.15</v>
      </c>
      <c r="X458">
        <v>2.08</v>
      </c>
      <c r="Y458">
        <v>1</v>
      </c>
      <c r="Z458">
        <v>10</v>
      </c>
    </row>
    <row r="459" spans="1:26" x14ac:dyDescent="0.3">
      <c r="A459">
        <v>4</v>
      </c>
      <c r="B459">
        <v>135</v>
      </c>
      <c r="C459" t="s">
        <v>26</v>
      </c>
      <c r="D459">
        <v>4.5843999999999996</v>
      </c>
      <c r="E459">
        <v>21.81</v>
      </c>
      <c r="F459">
        <v>14.51</v>
      </c>
      <c r="G459">
        <v>9.89</v>
      </c>
      <c r="H459">
        <v>0.13</v>
      </c>
      <c r="I459">
        <v>88</v>
      </c>
      <c r="J459">
        <v>265.19</v>
      </c>
      <c r="K459">
        <v>59.89</v>
      </c>
      <c r="L459">
        <v>2</v>
      </c>
      <c r="M459">
        <v>86</v>
      </c>
      <c r="N459">
        <v>68.31</v>
      </c>
      <c r="O459">
        <v>32941.21</v>
      </c>
      <c r="P459">
        <v>242.19</v>
      </c>
      <c r="Q459">
        <v>988.36</v>
      </c>
      <c r="R459">
        <v>92.56</v>
      </c>
      <c r="S459">
        <v>35.43</v>
      </c>
      <c r="T459">
        <v>27151.21</v>
      </c>
      <c r="U459">
        <v>0.38</v>
      </c>
      <c r="V459">
        <v>0.79</v>
      </c>
      <c r="W459">
        <v>3.1</v>
      </c>
      <c r="X459">
        <v>1.76</v>
      </c>
      <c r="Y459">
        <v>1</v>
      </c>
      <c r="Z459">
        <v>10</v>
      </c>
    </row>
    <row r="460" spans="1:26" x14ac:dyDescent="0.3">
      <c r="A460">
        <v>5</v>
      </c>
      <c r="B460">
        <v>135</v>
      </c>
      <c r="C460" t="s">
        <v>26</v>
      </c>
      <c r="D460">
        <v>4.7534999999999998</v>
      </c>
      <c r="E460">
        <v>21.04</v>
      </c>
      <c r="F460">
        <v>14.29</v>
      </c>
      <c r="G460">
        <v>11.14</v>
      </c>
      <c r="H460">
        <v>0.15</v>
      </c>
      <c r="I460">
        <v>77</v>
      </c>
      <c r="J460">
        <v>265.66000000000003</v>
      </c>
      <c r="K460">
        <v>59.89</v>
      </c>
      <c r="L460">
        <v>2.25</v>
      </c>
      <c r="M460">
        <v>75</v>
      </c>
      <c r="N460">
        <v>68.53</v>
      </c>
      <c r="O460">
        <v>32999.19</v>
      </c>
      <c r="P460">
        <v>237.97</v>
      </c>
      <c r="Q460">
        <v>988.39</v>
      </c>
      <c r="R460">
        <v>85.6</v>
      </c>
      <c r="S460">
        <v>35.43</v>
      </c>
      <c r="T460">
        <v>23725.09</v>
      </c>
      <c r="U460">
        <v>0.41</v>
      </c>
      <c r="V460">
        <v>0.8</v>
      </c>
      <c r="W460">
        <v>3.09</v>
      </c>
      <c r="X460">
        <v>1.53</v>
      </c>
      <c r="Y460">
        <v>1</v>
      </c>
      <c r="Z460">
        <v>10</v>
      </c>
    </row>
    <row r="461" spans="1:26" x14ac:dyDescent="0.3">
      <c r="A461">
        <v>6</v>
      </c>
      <c r="B461">
        <v>135</v>
      </c>
      <c r="C461" t="s">
        <v>26</v>
      </c>
      <c r="D461">
        <v>4.8865999999999996</v>
      </c>
      <c r="E461">
        <v>20.46</v>
      </c>
      <c r="F461">
        <v>14.12</v>
      </c>
      <c r="G461">
        <v>12.28</v>
      </c>
      <c r="H461">
        <v>0.17</v>
      </c>
      <c r="I461">
        <v>69</v>
      </c>
      <c r="J461">
        <v>266.13</v>
      </c>
      <c r="K461">
        <v>59.89</v>
      </c>
      <c r="L461">
        <v>2.5</v>
      </c>
      <c r="M461">
        <v>67</v>
      </c>
      <c r="N461">
        <v>68.75</v>
      </c>
      <c r="O461">
        <v>33057.26</v>
      </c>
      <c r="P461">
        <v>234.48</v>
      </c>
      <c r="Q461">
        <v>988.25</v>
      </c>
      <c r="R461">
        <v>80.36</v>
      </c>
      <c r="S461">
        <v>35.43</v>
      </c>
      <c r="T461">
        <v>21145.49</v>
      </c>
      <c r="U461">
        <v>0.44</v>
      </c>
      <c r="V461">
        <v>0.81</v>
      </c>
      <c r="W461">
        <v>3.07</v>
      </c>
      <c r="X461">
        <v>1.37</v>
      </c>
      <c r="Y461">
        <v>1</v>
      </c>
      <c r="Z461">
        <v>10</v>
      </c>
    </row>
    <row r="462" spans="1:26" x14ac:dyDescent="0.3">
      <c r="A462">
        <v>7</v>
      </c>
      <c r="B462">
        <v>135</v>
      </c>
      <c r="C462" t="s">
        <v>26</v>
      </c>
      <c r="D462">
        <v>5.0084</v>
      </c>
      <c r="E462">
        <v>19.97</v>
      </c>
      <c r="F462">
        <v>13.98</v>
      </c>
      <c r="G462">
        <v>13.53</v>
      </c>
      <c r="H462">
        <v>0.18</v>
      </c>
      <c r="I462">
        <v>62</v>
      </c>
      <c r="J462">
        <v>266.60000000000002</v>
      </c>
      <c r="K462">
        <v>59.89</v>
      </c>
      <c r="L462">
        <v>2.75</v>
      </c>
      <c r="M462">
        <v>60</v>
      </c>
      <c r="N462">
        <v>68.97</v>
      </c>
      <c r="O462">
        <v>33115.410000000003</v>
      </c>
      <c r="P462">
        <v>231.48</v>
      </c>
      <c r="Q462">
        <v>988.3</v>
      </c>
      <c r="R462">
        <v>75.849999999999994</v>
      </c>
      <c r="S462">
        <v>35.43</v>
      </c>
      <c r="T462">
        <v>18926.509999999998</v>
      </c>
      <c r="U462">
        <v>0.47</v>
      </c>
      <c r="V462">
        <v>0.82</v>
      </c>
      <c r="W462">
        <v>3.06</v>
      </c>
      <c r="X462">
        <v>1.22</v>
      </c>
      <c r="Y462">
        <v>1</v>
      </c>
      <c r="Z462">
        <v>10</v>
      </c>
    </row>
    <row r="463" spans="1:26" x14ac:dyDescent="0.3">
      <c r="A463">
        <v>8</v>
      </c>
      <c r="B463">
        <v>135</v>
      </c>
      <c r="C463" t="s">
        <v>26</v>
      </c>
      <c r="D463">
        <v>5.1165000000000003</v>
      </c>
      <c r="E463">
        <v>19.54</v>
      </c>
      <c r="F463">
        <v>13.86</v>
      </c>
      <c r="G463">
        <v>14.85</v>
      </c>
      <c r="H463">
        <v>0.2</v>
      </c>
      <c r="I463">
        <v>56</v>
      </c>
      <c r="J463">
        <v>267.08</v>
      </c>
      <c r="K463">
        <v>59.89</v>
      </c>
      <c r="L463">
        <v>3</v>
      </c>
      <c r="M463">
        <v>54</v>
      </c>
      <c r="N463">
        <v>69.19</v>
      </c>
      <c r="O463">
        <v>33173.65</v>
      </c>
      <c r="P463">
        <v>228.72</v>
      </c>
      <c r="Q463">
        <v>988.32</v>
      </c>
      <c r="R463">
        <v>72.209999999999994</v>
      </c>
      <c r="S463">
        <v>35.43</v>
      </c>
      <c r="T463">
        <v>17137.89</v>
      </c>
      <c r="U463">
        <v>0.49</v>
      </c>
      <c r="V463">
        <v>0.82</v>
      </c>
      <c r="W463">
        <v>3.05</v>
      </c>
      <c r="X463">
        <v>1.1000000000000001</v>
      </c>
      <c r="Y463">
        <v>1</v>
      </c>
      <c r="Z463">
        <v>10</v>
      </c>
    </row>
    <row r="464" spans="1:26" x14ac:dyDescent="0.3">
      <c r="A464">
        <v>9</v>
      </c>
      <c r="B464">
        <v>135</v>
      </c>
      <c r="C464" t="s">
        <v>26</v>
      </c>
      <c r="D464">
        <v>5.2084999999999999</v>
      </c>
      <c r="E464">
        <v>19.2</v>
      </c>
      <c r="F464">
        <v>13.77</v>
      </c>
      <c r="G464">
        <v>16.2</v>
      </c>
      <c r="H464">
        <v>0.22</v>
      </c>
      <c r="I464">
        <v>51</v>
      </c>
      <c r="J464">
        <v>267.55</v>
      </c>
      <c r="K464">
        <v>59.89</v>
      </c>
      <c r="L464">
        <v>3.25</v>
      </c>
      <c r="M464">
        <v>49</v>
      </c>
      <c r="N464">
        <v>69.41</v>
      </c>
      <c r="O464">
        <v>33231.97</v>
      </c>
      <c r="P464">
        <v>226.5</v>
      </c>
      <c r="Q464">
        <v>988.18</v>
      </c>
      <c r="R464">
        <v>69.25</v>
      </c>
      <c r="S464">
        <v>35.43</v>
      </c>
      <c r="T464">
        <v>15678.94</v>
      </c>
      <c r="U464">
        <v>0.51</v>
      </c>
      <c r="V464">
        <v>0.83</v>
      </c>
      <c r="W464">
        <v>3.05</v>
      </c>
      <c r="X464">
        <v>1.01</v>
      </c>
      <c r="Y464">
        <v>1</v>
      </c>
      <c r="Z464">
        <v>10</v>
      </c>
    </row>
    <row r="465" spans="1:26" x14ac:dyDescent="0.3">
      <c r="A465">
        <v>10</v>
      </c>
      <c r="B465">
        <v>135</v>
      </c>
      <c r="C465" t="s">
        <v>26</v>
      </c>
      <c r="D465">
        <v>5.2840999999999996</v>
      </c>
      <c r="E465">
        <v>18.920000000000002</v>
      </c>
      <c r="F465">
        <v>13.7</v>
      </c>
      <c r="G465">
        <v>17.48</v>
      </c>
      <c r="H465">
        <v>0.23</v>
      </c>
      <c r="I465">
        <v>47</v>
      </c>
      <c r="J465">
        <v>268.02</v>
      </c>
      <c r="K465">
        <v>59.89</v>
      </c>
      <c r="L465">
        <v>3.5</v>
      </c>
      <c r="M465">
        <v>45</v>
      </c>
      <c r="N465">
        <v>69.64</v>
      </c>
      <c r="O465">
        <v>33290.379999999997</v>
      </c>
      <c r="P465">
        <v>224.82</v>
      </c>
      <c r="Q465">
        <v>988.33</v>
      </c>
      <c r="R465">
        <v>66.91</v>
      </c>
      <c r="S465">
        <v>35.43</v>
      </c>
      <c r="T465">
        <v>14531.74</v>
      </c>
      <c r="U465">
        <v>0.53</v>
      </c>
      <c r="V465">
        <v>0.83</v>
      </c>
      <c r="W465">
        <v>3.05</v>
      </c>
      <c r="X465">
        <v>0.94</v>
      </c>
      <c r="Y465">
        <v>1</v>
      </c>
      <c r="Z465">
        <v>10</v>
      </c>
    </row>
    <row r="466" spans="1:26" x14ac:dyDescent="0.3">
      <c r="A466">
        <v>11</v>
      </c>
      <c r="B466">
        <v>135</v>
      </c>
      <c r="C466" t="s">
        <v>26</v>
      </c>
      <c r="D466">
        <v>5.3475000000000001</v>
      </c>
      <c r="E466">
        <v>18.7</v>
      </c>
      <c r="F466">
        <v>13.62</v>
      </c>
      <c r="G466">
        <v>18.579999999999998</v>
      </c>
      <c r="H466">
        <v>0.25</v>
      </c>
      <c r="I466">
        <v>44</v>
      </c>
      <c r="J466">
        <v>268.5</v>
      </c>
      <c r="K466">
        <v>59.89</v>
      </c>
      <c r="L466">
        <v>3.75</v>
      </c>
      <c r="M466">
        <v>42</v>
      </c>
      <c r="N466">
        <v>69.86</v>
      </c>
      <c r="O466">
        <v>33348.870000000003</v>
      </c>
      <c r="P466">
        <v>223.13</v>
      </c>
      <c r="Q466">
        <v>988.16</v>
      </c>
      <c r="R466">
        <v>64.86</v>
      </c>
      <c r="S466">
        <v>35.43</v>
      </c>
      <c r="T466">
        <v>13518.77</v>
      </c>
      <c r="U466">
        <v>0.55000000000000004</v>
      </c>
      <c r="V466">
        <v>0.84</v>
      </c>
      <c r="W466">
        <v>3.04</v>
      </c>
      <c r="X466">
        <v>0.87</v>
      </c>
      <c r="Y466">
        <v>1</v>
      </c>
      <c r="Z466">
        <v>10</v>
      </c>
    </row>
    <row r="467" spans="1:26" x14ac:dyDescent="0.3">
      <c r="A467">
        <v>12</v>
      </c>
      <c r="B467">
        <v>135</v>
      </c>
      <c r="C467" t="s">
        <v>26</v>
      </c>
      <c r="D467">
        <v>5.4135999999999997</v>
      </c>
      <c r="E467">
        <v>18.47</v>
      </c>
      <c r="F467">
        <v>13.55</v>
      </c>
      <c r="G467">
        <v>19.82</v>
      </c>
      <c r="H467">
        <v>0.26</v>
      </c>
      <c r="I467">
        <v>41</v>
      </c>
      <c r="J467">
        <v>268.97000000000003</v>
      </c>
      <c r="K467">
        <v>59.89</v>
      </c>
      <c r="L467">
        <v>4</v>
      </c>
      <c r="M467">
        <v>39</v>
      </c>
      <c r="N467">
        <v>70.09</v>
      </c>
      <c r="O467">
        <v>33407.449999999997</v>
      </c>
      <c r="P467">
        <v>221.09</v>
      </c>
      <c r="Q467">
        <v>988.34</v>
      </c>
      <c r="R467">
        <v>62.37</v>
      </c>
      <c r="S467">
        <v>35.43</v>
      </c>
      <c r="T467">
        <v>12293.34</v>
      </c>
      <c r="U467">
        <v>0.56999999999999995</v>
      </c>
      <c r="V467">
        <v>0.84</v>
      </c>
      <c r="W467">
        <v>3.03</v>
      </c>
      <c r="X467">
        <v>0.79</v>
      </c>
      <c r="Y467">
        <v>1</v>
      </c>
      <c r="Z467">
        <v>10</v>
      </c>
    </row>
    <row r="468" spans="1:26" x14ac:dyDescent="0.3">
      <c r="A468">
        <v>13</v>
      </c>
      <c r="B468">
        <v>135</v>
      </c>
      <c r="C468" t="s">
        <v>26</v>
      </c>
      <c r="D468">
        <v>5.4726999999999997</v>
      </c>
      <c r="E468">
        <v>18.27</v>
      </c>
      <c r="F468">
        <v>13.5</v>
      </c>
      <c r="G468">
        <v>21.31</v>
      </c>
      <c r="H468">
        <v>0.28000000000000003</v>
      </c>
      <c r="I468">
        <v>38</v>
      </c>
      <c r="J468">
        <v>269.45</v>
      </c>
      <c r="K468">
        <v>59.89</v>
      </c>
      <c r="L468">
        <v>4.25</v>
      </c>
      <c r="M468">
        <v>36</v>
      </c>
      <c r="N468">
        <v>70.31</v>
      </c>
      <c r="O468">
        <v>33466.11</v>
      </c>
      <c r="P468">
        <v>219.61</v>
      </c>
      <c r="Q468">
        <v>988.16</v>
      </c>
      <c r="R468">
        <v>60.61</v>
      </c>
      <c r="S468">
        <v>35.43</v>
      </c>
      <c r="T468">
        <v>11427.05</v>
      </c>
      <c r="U468">
        <v>0.57999999999999996</v>
      </c>
      <c r="V468">
        <v>0.84</v>
      </c>
      <c r="W468">
        <v>3.03</v>
      </c>
      <c r="X468">
        <v>0.74</v>
      </c>
      <c r="Y468">
        <v>1</v>
      </c>
      <c r="Z468">
        <v>10</v>
      </c>
    </row>
    <row r="469" spans="1:26" x14ac:dyDescent="0.3">
      <c r="A469">
        <v>14</v>
      </c>
      <c r="B469">
        <v>135</v>
      </c>
      <c r="C469" t="s">
        <v>26</v>
      </c>
      <c r="D469">
        <v>5.5190999999999999</v>
      </c>
      <c r="E469">
        <v>18.12</v>
      </c>
      <c r="F469">
        <v>13.45</v>
      </c>
      <c r="G469">
        <v>22.41</v>
      </c>
      <c r="H469">
        <v>0.3</v>
      </c>
      <c r="I469">
        <v>36</v>
      </c>
      <c r="J469">
        <v>269.92</v>
      </c>
      <c r="K469">
        <v>59.89</v>
      </c>
      <c r="L469">
        <v>4.5</v>
      </c>
      <c r="M469">
        <v>34</v>
      </c>
      <c r="N469">
        <v>70.540000000000006</v>
      </c>
      <c r="O469">
        <v>33524.86</v>
      </c>
      <c r="P469">
        <v>218.12</v>
      </c>
      <c r="Q469">
        <v>988.12</v>
      </c>
      <c r="R469">
        <v>58.99</v>
      </c>
      <c r="S469">
        <v>35.43</v>
      </c>
      <c r="T469">
        <v>10624.02</v>
      </c>
      <c r="U469">
        <v>0.6</v>
      </c>
      <c r="V469">
        <v>0.85</v>
      </c>
      <c r="W469">
        <v>3.03</v>
      </c>
      <c r="X469">
        <v>0.69</v>
      </c>
      <c r="Y469">
        <v>1</v>
      </c>
      <c r="Z469">
        <v>10</v>
      </c>
    </row>
    <row r="470" spans="1:26" x14ac:dyDescent="0.3">
      <c r="A470">
        <v>15</v>
      </c>
      <c r="B470">
        <v>135</v>
      </c>
      <c r="C470" t="s">
        <v>26</v>
      </c>
      <c r="D470">
        <v>5.5570000000000004</v>
      </c>
      <c r="E470">
        <v>18</v>
      </c>
      <c r="F470">
        <v>13.42</v>
      </c>
      <c r="G470">
        <v>23.69</v>
      </c>
      <c r="H470">
        <v>0.31</v>
      </c>
      <c r="I470">
        <v>34</v>
      </c>
      <c r="J470">
        <v>270.39999999999998</v>
      </c>
      <c r="K470">
        <v>59.89</v>
      </c>
      <c r="L470">
        <v>4.75</v>
      </c>
      <c r="M470">
        <v>32</v>
      </c>
      <c r="N470">
        <v>70.760000000000005</v>
      </c>
      <c r="O470">
        <v>33583.699999999997</v>
      </c>
      <c r="P470">
        <v>217.24</v>
      </c>
      <c r="Q470">
        <v>988.16</v>
      </c>
      <c r="R470">
        <v>58.58</v>
      </c>
      <c r="S470">
        <v>35.43</v>
      </c>
      <c r="T470">
        <v>10429.35</v>
      </c>
      <c r="U470">
        <v>0.6</v>
      </c>
      <c r="V470">
        <v>0.85</v>
      </c>
      <c r="W470">
        <v>3.02</v>
      </c>
      <c r="X470">
        <v>0.67</v>
      </c>
      <c r="Y470">
        <v>1</v>
      </c>
      <c r="Z470">
        <v>10</v>
      </c>
    </row>
    <row r="471" spans="1:26" x14ac:dyDescent="0.3">
      <c r="A471">
        <v>16</v>
      </c>
      <c r="B471">
        <v>135</v>
      </c>
      <c r="C471" t="s">
        <v>26</v>
      </c>
      <c r="D471">
        <v>5.6044</v>
      </c>
      <c r="E471">
        <v>17.84</v>
      </c>
      <c r="F471">
        <v>13.37</v>
      </c>
      <c r="G471">
        <v>25.07</v>
      </c>
      <c r="H471">
        <v>0.33</v>
      </c>
      <c r="I471">
        <v>32</v>
      </c>
      <c r="J471">
        <v>270.88</v>
      </c>
      <c r="K471">
        <v>59.89</v>
      </c>
      <c r="L471">
        <v>5</v>
      </c>
      <c r="M471">
        <v>30</v>
      </c>
      <c r="N471">
        <v>70.989999999999995</v>
      </c>
      <c r="O471">
        <v>33642.620000000003</v>
      </c>
      <c r="P471">
        <v>215.56</v>
      </c>
      <c r="Q471">
        <v>988.22</v>
      </c>
      <c r="R471">
        <v>56.71</v>
      </c>
      <c r="S471">
        <v>35.43</v>
      </c>
      <c r="T471">
        <v>9507.8799999999992</v>
      </c>
      <c r="U471">
        <v>0.62</v>
      </c>
      <c r="V471">
        <v>0.85</v>
      </c>
      <c r="W471">
        <v>3.02</v>
      </c>
      <c r="X471">
        <v>0.62</v>
      </c>
      <c r="Y471">
        <v>1</v>
      </c>
      <c r="Z471">
        <v>10</v>
      </c>
    </row>
    <row r="472" spans="1:26" x14ac:dyDescent="0.3">
      <c r="A472">
        <v>17</v>
      </c>
      <c r="B472">
        <v>135</v>
      </c>
      <c r="C472" t="s">
        <v>26</v>
      </c>
      <c r="D472">
        <v>5.6261000000000001</v>
      </c>
      <c r="E472">
        <v>17.77</v>
      </c>
      <c r="F472">
        <v>13.35</v>
      </c>
      <c r="G472">
        <v>25.85</v>
      </c>
      <c r="H472">
        <v>0.34</v>
      </c>
      <c r="I472">
        <v>31</v>
      </c>
      <c r="J472">
        <v>271.36</v>
      </c>
      <c r="K472">
        <v>59.89</v>
      </c>
      <c r="L472">
        <v>5.25</v>
      </c>
      <c r="M472">
        <v>29</v>
      </c>
      <c r="N472">
        <v>71.22</v>
      </c>
      <c r="O472">
        <v>33701.64</v>
      </c>
      <c r="P472">
        <v>214.86</v>
      </c>
      <c r="Q472">
        <v>988.2</v>
      </c>
      <c r="R472">
        <v>56.53</v>
      </c>
      <c r="S472">
        <v>35.43</v>
      </c>
      <c r="T472">
        <v>9419.9</v>
      </c>
      <c r="U472">
        <v>0.63</v>
      </c>
      <c r="V472">
        <v>0.85</v>
      </c>
      <c r="W472">
        <v>3.01</v>
      </c>
      <c r="X472">
        <v>0.6</v>
      </c>
      <c r="Y472">
        <v>1</v>
      </c>
      <c r="Z472">
        <v>10</v>
      </c>
    </row>
    <row r="473" spans="1:26" x14ac:dyDescent="0.3">
      <c r="A473">
        <v>18</v>
      </c>
      <c r="B473">
        <v>135</v>
      </c>
      <c r="C473" t="s">
        <v>26</v>
      </c>
      <c r="D473">
        <v>5.6733000000000002</v>
      </c>
      <c r="E473">
        <v>17.63</v>
      </c>
      <c r="F473">
        <v>13.31</v>
      </c>
      <c r="G473">
        <v>27.53</v>
      </c>
      <c r="H473">
        <v>0.36</v>
      </c>
      <c r="I473">
        <v>29</v>
      </c>
      <c r="J473">
        <v>271.83999999999997</v>
      </c>
      <c r="K473">
        <v>59.89</v>
      </c>
      <c r="L473">
        <v>5.5</v>
      </c>
      <c r="M473">
        <v>27</v>
      </c>
      <c r="N473">
        <v>71.45</v>
      </c>
      <c r="O473">
        <v>33760.74</v>
      </c>
      <c r="P473">
        <v>213.22</v>
      </c>
      <c r="Q473">
        <v>988.08</v>
      </c>
      <c r="R473">
        <v>55.02</v>
      </c>
      <c r="S473">
        <v>35.43</v>
      </c>
      <c r="T473">
        <v>8674.7800000000007</v>
      </c>
      <c r="U473">
        <v>0.64</v>
      </c>
      <c r="V473">
        <v>0.86</v>
      </c>
      <c r="W473">
        <v>3.01</v>
      </c>
      <c r="X473">
        <v>0.55000000000000004</v>
      </c>
      <c r="Y473">
        <v>1</v>
      </c>
      <c r="Z473">
        <v>10</v>
      </c>
    </row>
    <row r="474" spans="1:26" x14ac:dyDescent="0.3">
      <c r="A474">
        <v>19</v>
      </c>
      <c r="B474">
        <v>135</v>
      </c>
      <c r="C474" t="s">
        <v>26</v>
      </c>
      <c r="D474">
        <v>5.6920000000000002</v>
      </c>
      <c r="E474">
        <v>17.57</v>
      </c>
      <c r="F474">
        <v>13.3</v>
      </c>
      <c r="G474">
        <v>28.5</v>
      </c>
      <c r="H474">
        <v>0.38</v>
      </c>
      <c r="I474">
        <v>28</v>
      </c>
      <c r="J474">
        <v>272.32</v>
      </c>
      <c r="K474">
        <v>59.89</v>
      </c>
      <c r="L474">
        <v>5.75</v>
      </c>
      <c r="M474">
        <v>26</v>
      </c>
      <c r="N474">
        <v>71.680000000000007</v>
      </c>
      <c r="O474">
        <v>33820.050000000003</v>
      </c>
      <c r="P474">
        <v>212.55</v>
      </c>
      <c r="Q474">
        <v>988.19</v>
      </c>
      <c r="R474">
        <v>54.81</v>
      </c>
      <c r="S474">
        <v>35.43</v>
      </c>
      <c r="T474">
        <v>8577.56</v>
      </c>
      <c r="U474">
        <v>0.65</v>
      </c>
      <c r="V474">
        <v>0.86</v>
      </c>
      <c r="W474">
        <v>3.01</v>
      </c>
      <c r="X474">
        <v>0.55000000000000004</v>
      </c>
      <c r="Y474">
        <v>1</v>
      </c>
      <c r="Z474">
        <v>10</v>
      </c>
    </row>
    <row r="475" spans="1:26" x14ac:dyDescent="0.3">
      <c r="A475">
        <v>20</v>
      </c>
      <c r="B475">
        <v>135</v>
      </c>
      <c r="C475" t="s">
        <v>26</v>
      </c>
      <c r="D475">
        <v>5.7195999999999998</v>
      </c>
      <c r="E475">
        <v>17.48</v>
      </c>
      <c r="F475">
        <v>13.27</v>
      </c>
      <c r="G475">
        <v>29.48</v>
      </c>
      <c r="H475">
        <v>0.39</v>
      </c>
      <c r="I475">
        <v>27</v>
      </c>
      <c r="J475">
        <v>272.8</v>
      </c>
      <c r="K475">
        <v>59.89</v>
      </c>
      <c r="L475">
        <v>6</v>
      </c>
      <c r="M475">
        <v>25</v>
      </c>
      <c r="N475">
        <v>71.91</v>
      </c>
      <c r="O475">
        <v>33879.33</v>
      </c>
      <c r="P475">
        <v>211.35</v>
      </c>
      <c r="Q475">
        <v>988.13</v>
      </c>
      <c r="R475">
        <v>53.56</v>
      </c>
      <c r="S475">
        <v>35.43</v>
      </c>
      <c r="T475">
        <v>7955.44</v>
      </c>
      <c r="U475">
        <v>0.66</v>
      </c>
      <c r="V475">
        <v>0.86</v>
      </c>
      <c r="W475">
        <v>3.01</v>
      </c>
      <c r="X475">
        <v>0.51</v>
      </c>
      <c r="Y475">
        <v>1</v>
      </c>
      <c r="Z475">
        <v>10</v>
      </c>
    </row>
    <row r="476" spans="1:26" x14ac:dyDescent="0.3">
      <c r="A476">
        <v>21</v>
      </c>
      <c r="B476">
        <v>135</v>
      </c>
      <c r="C476" t="s">
        <v>26</v>
      </c>
      <c r="D476">
        <v>5.7680999999999996</v>
      </c>
      <c r="E476">
        <v>17.34</v>
      </c>
      <c r="F476">
        <v>13.22</v>
      </c>
      <c r="G476">
        <v>31.73</v>
      </c>
      <c r="H476">
        <v>0.41</v>
      </c>
      <c r="I476">
        <v>25</v>
      </c>
      <c r="J476">
        <v>273.27999999999997</v>
      </c>
      <c r="K476">
        <v>59.89</v>
      </c>
      <c r="L476">
        <v>6.25</v>
      </c>
      <c r="M476">
        <v>23</v>
      </c>
      <c r="N476">
        <v>72.14</v>
      </c>
      <c r="O476">
        <v>33938.699999999997</v>
      </c>
      <c r="P476">
        <v>209.69</v>
      </c>
      <c r="Q476">
        <v>988.16</v>
      </c>
      <c r="R476">
        <v>52.33</v>
      </c>
      <c r="S476">
        <v>35.43</v>
      </c>
      <c r="T476">
        <v>7349.4</v>
      </c>
      <c r="U476">
        <v>0.68</v>
      </c>
      <c r="V476">
        <v>0.86</v>
      </c>
      <c r="W476">
        <v>3</v>
      </c>
      <c r="X476">
        <v>0.47</v>
      </c>
      <c r="Y476">
        <v>1</v>
      </c>
      <c r="Z476">
        <v>10</v>
      </c>
    </row>
    <row r="477" spans="1:26" x14ac:dyDescent="0.3">
      <c r="A477">
        <v>22</v>
      </c>
      <c r="B477">
        <v>135</v>
      </c>
      <c r="C477" t="s">
        <v>26</v>
      </c>
      <c r="D477">
        <v>5.7632000000000003</v>
      </c>
      <c r="E477">
        <v>17.350000000000001</v>
      </c>
      <c r="F477">
        <v>13.23</v>
      </c>
      <c r="G477">
        <v>31.76</v>
      </c>
      <c r="H477">
        <v>0.42</v>
      </c>
      <c r="I477">
        <v>25</v>
      </c>
      <c r="J477">
        <v>273.76</v>
      </c>
      <c r="K477">
        <v>59.89</v>
      </c>
      <c r="L477">
        <v>6.5</v>
      </c>
      <c r="M477">
        <v>23</v>
      </c>
      <c r="N477">
        <v>72.37</v>
      </c>
      <c r="O477">
        <v>33998.160000000003</v>
      </c>
      <c r="P477">
        <v>209.43</v>
      </c>
      <c r="Q477">
        <v>988.19</v>
      </c>
      <c r="R477">
        <v>52.57</v>
      </c>
      <c r="S477">
        <v>35.43</v>
      </c>
      <c r="T477">
        <v>7470.99</v>
      </c>
      <c r="U477">
        <v>0.67</v>
      </c>
      <c r="V477">
        <v>0.86</v>
      </c>
      <c r="W477">
        <v>3.01</v>
      </c>
      <c r="X477">
        <v>0.48</v>
      </c>
      <c r="Y477">
        <v>1</v>
      </c>
      <c r="Z477">
        <v>10</v>
      </c>
    </row>
    <row r="478" spans="1:26" x14ac:dyDescent="0.3">
      <c r="A478">
        <v>23</v>
      </c>
      <c r="B478">
        <v>135</v>
      </c>
      <c r="C478" t="s">
        <v>26</v>
      </c>
      <c r="D478">
        <v>5.7869000000000002</v>
      </c>
      <c r="E478">
        <v>17.28</v>
      </c>
      <c r="F478">
        <v>13.21</v>
      </c>
      <c r="G478">
        <v>33.04</v>
      </c>
      <c r="H478">
        <v>0.44</v>
      </c>
      <c r="I478">
        <v>24</v>
      </c>
      <c r="J478">
        <v>274.24</v>
      </c>
      <c r="K478">
        <v>59.89</v>
      </c>
      <c r="L478">
        <v>6.75</v>
      </c>
      <c r="M478">
        <v>22</v>
      </c>
      <c r="N478">
        <v>72.61</v>
      </c>
      <c r="O478">
        <v>34057.71</v>
      </c>
      <c r="P478">
        <v>208.35</v>
      </c>
      <c r="Q478">
        <v>988.15</v>
      </c>
      <c r="R478">
        <v>51.87</v>
      </c>
      <c r="S478">
        <v>35.43</v>
      </c>
      <c r="T478">
        <v>7126.34</v>
      </c>
      <c r="U478">
        <v>0.68</v>
      </c>
      <c r="V478">
        <v>0.86</v>
      </c>
      <c r="W478">
        <v>3.01</v>
      </c>
      <c r="X478">
        <v>0.46</v>
      </c>
      <c r="Y478">
        <v>1</v>
      </c>
      <c r="Z478">
        <v>10</v>
      </c>
    </row>
    <row r="479" spans="1:26" x14ac:dyDescent="0.3">
      <c r="A479">
        <v>24</v>
      </c>
      <c r="B479">
        <v>135</v>
      </c>
      <c r="C479" t="s">
        <v>26</v>
      </c>
      <c r="D479">
        <v>5.8079999999999998</v>
      </c>
      <c r="E479">
        <v>17.22</v>
      </c>
      <c r="F479">
        <v>13.2</v>
      </c>
      <c r="G479">
        <v>34.44</v>
      </c>
      <c r="H479">
        <v>0.45</v>
      </c>
      <c r="I479">
        <v>23</v>
      </c>
      <c r="J479">
        <v>274.73</v>
      </c>
      <c r="K479">
        <v>59.89</v>
      </c>
      <c r="L479">
        <v>7</v>
      </c>
      <c r="M479">
        <v>21</v>
      </c>
      <c r="N479">
        <v>72.84</v>
      </c>
      <c r="O479">
        <v>34117.35</v>
      </c>
      <c r="P479">
        <v>207.81</v>
      </c>
      <c r="Q479">
        <v>988.17</v>
      </c>
      <c r="R479">
        <v>51.54</v>
      </c>
      <c r="S479">
        <v>35.43</v>
      </c>
      <c r="T479">
        <v>6964.74</v>
      </c>
      <c r="U479">
        <v>0.69</v>
      </c>
      <c r="V479">
        <v>0.86</v>
      </c>
      <c r="W479">
        <v>3.01</v>
      </c>
      <c r="X479">
        <v>0.45</v>
      </c>
      <c r="Y479">
        <v>1</v>
      </c>
      <c r="Z479">
        <v>10</v>
      </c>
    </row>
    <row r="480" spans="1:26" x14ac:dyDescent="0.3">
      <c r="A480">
        <v>25</v>
      </c>
      <c r="B480">
        <v>135</v>
      </c>
      <c r="C480" t="s">
        <v>26</v>
      </c>
      <c r="D480">
        <v>5.8376000000000001</v>
      </c>
      <c r="E480">
        <v>17.13</v>
      </c>
      <c r="F480">
        <v>13.16</v>
      </c>
      <c r="G480">
        <v>35.9</v>
      </c>
      <c r="H480">
        <v>0.47</v>
      </c>
      <c r="I480">
        <v>22</v>
      </c>
      <c r="J480">
        <v>275.20999999999998</v>
      </c>
      <c r="K480">
        <v>59.89</v>
      </c>
      <c r="L480">
        <v>7.25</v>
      </c>
      <c r="M480">
        <v>20</v>
      </c>
      <c r="N480">
        <v>73.08</v>
      </c>
      <c r="O480">
        <v>34177.089999999997</v>
      </c>
      <c r="P480">
        <v>206.52</v>
      </c>
      <c r="Q480">
        <v>988.08</v>
      </c>
      <c r="R480">
        <v>50.69</v>
      </c>
      <c r="S480">
        <v>35.43</v>
      </c>
      <c r="T480">
        <v>6544.3</v>
      </c>
      <c r="U480">
        <v>0.7</v>
      </c>
      <c r="V480">
        <v>0.87</v>
      </c>
      <c r="W480">
        <v>2.99</v>
      </c>
      <c r="X480">
        <v>0.41</v>
      </c>
      <c r="Y480">
        <v>1</v>
      </c>
      <c r="Z480">
        <v>10</v>
      </c>
    </row>
    <row r="481" spans="1:26" x14ac:dyDescent="0.3">
      <c r="A481">
        <v>26</v>
      </c>
      <c r="B481">
        <v>135</v>
      </c>
      <c r="C481" t="s">
        <v>26</v>
      </c>
      <c r="D481">
        <v>5.8567999999999998</v>
      </c>
      <c r="E481">
        <v>17.07</v>
      </c>
      <c r="F481">
        <v>13.16</v>
      </c>
      <c r="G481">
        <v>37.6</v>
      </c>
      <c r="H481">
        <v>0.48</v>
      </c>
      <c r="I481">
        <v>21</v>
      </c>
      <c r="J481">
        <v>275.7</v>
      </c>
      <c r="K481">
        <v>59.89</v>
      </c>
      <c r="L481">
        <v>7.5</v>
      </c>
      <c r="M481">
        <v>19</v>
      </c>
      <c r="N481">
        <v>73.31</v>
      </c>
      <c r="O481">
        <v>34236.910000000003</v>
      </c>
      <c r="P481">
        <v>205.67</v>
      </c>
      <c r="Q481">
        <v>988.16</v>
      </c>
      <c r="R481">
        <v>50.54</v>
      </c>
      <c r="S481">
        <v>35.43</v>
      </c>
      <c r="T481">
        <v>6475.99</v>
      </c>
      <c r="U481">
        <v>0.7</v>
      </c>
      <c r="V481">
        <v>0.87</v>
      </c>
      <c r="W481">
        <v>2.99</v>
      </c>
      <c r="X481">
        <v>0.41</v>
      </c>
      <c r="Y481">
        <v>1</v>
      </c>
      <c r="Z481">
        <v>10</v>
      </c>
    </row>
    <row r="482" spans="1:26" x14ac:dyDescent="0.3">
      <c r="A482">
        <v>27</v>
      </c>
      <c r="B482">
        <v>135</v>
      </c>
      <c r="C482" t="s">
        <v>26</v>
      </c>
      <c r="D482">
        <v>5.8849</v>
      </c>
      <c r="E482">
        <v>16.989999999999998</v>
      </c>
      <c r="F482">
        <v>13.13</v>
      </c>
      <c r="G482">
        <v>39.39</v>
      </c>
      <c r="H482">
        <v>0.5</v>
      </c>
      <c r="I482">
        <v>20</v>
      </c>
      <c r="J482">
        <v>276.18</v>
      </c>
      <c r="K482">
        <v>59.89</v>
      </c>
      <c r="L482">
        <v>7.75</v>
      </c>
      <c r="M482">
        <v>18</v>
      </c>
      <c r="N482">
        <v>73.55</v>
      </c>
      <c r="O482">
        <v>34296.82</v>
      </c>
      <c r="P482">
        <v>204.69</v>
      </c>
      <c r="Q482">
        <v>988.17</v>
      </c>
      <c r="R482">
        <v>49.36</v>
      </c>
      <c r="S482">
        <v>35.43</v>
      </c>
      <c r="T482">
        <v>5892.03</v>
      </c>
      <c r="U482">
        <v>0.72</v>
      </c>
      <c r="V482">
        <v>0.87</v>
      </c>
      <c r="W482">
        <v>3</v>
      </c>
      <c r="X482">
        <v>0.37</v>
      </c>
      <c r="Y482">
        <v>1</v>
      </c>
      <c r="Z482">
        <v>10</v>
      </c>
    </row>
    <row r="483" spans="1:26" x14ac:dyDescent="0.3">
      <c r="A483">
        <v>28</v>
      </c>
      <c r="B483">
        <v>135</v>
      </c>
      <c r="C483" t="s">
        <v>26</v>
      </c>
      <c r="D483">
        <v>5.8879000000000001</v>
      </c>
      <c r="E483">
        <v>16.98</v>
      </c>
      <c r="F483">
        <v>13.12</v>
      </c>
      <c r="G483">
        <v>39.36</v>
      </c>
      <c r="H483">
        <v>0.51</v>
      </c>
      <c r="I483">
        <v>20</v>
      </c>
      <c r="J483">
        <v>276.67</v>
      </c>
      <c r="K483">
        <v>59.89</v>
      </c>
      <c r="L483">
        <v>8</v>
      </c>
      <c r="M483">
        <v>18</v>
      </c>
      <c r="N483">
        <v>73.78</v>
      </c>
      <c r="O483">
        <v>34356.83</v>
      </c>
      <c r="P483">
        <v>203.93</v>
      </c>
      <c r="Q483">
        <v>988.12</v>
      </c>
      <c r="R483">
        <v>49.02</v>
      </c>
      <c r="S483">
        <v>35.43</v>
      </c>
      <c r="T483">
        <v>5720.96</v>
      </c>
      <c r="U483">
        <v>0.72</v>
      </c>
      <c r="V483">
        <v>0.87</v>
      </c>
      <c r="W483">
        <v>3</v>
      </c>
      <c r="X483">
        <v>0.37</v>
      </c>
      <c r="Y483">
        <v>1</v>
      </c>
      <c r="Z483">
        <v>10</v>
      </c>
    </row>
    <row r="484" spans="1:26" x14ac:dyDescent="0.3">
      <c r="A484">
        <v>29</v>
      </c>
      <c r="B484">
        <v>135</v>
      </c>
      <c r="C484" t="s">
        <v>26</v>
      </c>
      <c r="D484">
        <v>5.9089</v>
      </c>
      <c r="E484">
        <v>16.920000000000002</v>
      </c>
      <c r="F484">
        <v>13.11</v>
      </c>
      <c r="G484">
        <v>41.4</v>
      </c>
      <c r="H484">
        <v>0.53</v>
      </c>
      <c r="I484">
        <v>19</v>
      </c>
      <c r="J484">
        <v>277.16000000000003</v>
      </c>
      <c r="K484">
        <v>59.89</v>
      </c>
      <c r="L484">
        <v>8.25</v>
      </c>
      <c r="M484">
        <v>17</v>
      </c>
      <c r="N484">
        <v>74.02</v>
      </c>
      <c r="O484">
        <v>34416.93</v>
      </c>
      <c r="P484">
        <v>203.08</v>
      </c>
      <c r="Q484">
        <v>988.16</v>
      </c>
      <c r="R484">
        <v>48.76</v>
      </c>
      <c r="S484">
        <v>35.43</v>
      </c>
      <c r="T484">
        <v>5594.76</v>
      </c>
      <c r="U484">
        <v>0.73</v>
      </c>
      <c r="V484">
        <v>0.87</v>
      </c>
      <c r="W484">
        <v>3</v>
      </c>
      <c r="X484">
        <v>0.36</v>
      </c>
      <c r="Y484">
        <v>1</v>
      </c>
      <c r="Z484">
        <v>10</v>
      </c>
    </row>
    <row r="485" spans="1:26" x14ac:dyDescent="0.3">
      <c r="A485">
        <v>30</v>
      </c>
      <c r="B485">
        <v>135</v>
      </c>
      <c r="C485" t="s">
        <v>26</v>
      </c>
      <c r="D485">
        <v>5.9302999999999999</v>
      </c>
      <c r="E485">
        <v>16.86</v>
      </c>
      <c r="F485">
        <v>13.1</v>
      </c>
      <c r="G485">
        <v>43.66</v>
      </c>
      <c r="H485">
        <v>0.55000000000000004</v>
      </c>
      <c r="I485">
        <v>18</v>
      </c>
      <c r="J485">
        <v>277.64999999999998</v>
      </c>
      <c r="K485">
        <v>59.89</v>
      </c>
      <c r="L485">
        <v>8.5</v>
      </c>
      <c r="M485">
        <v>16</v>
      </c>
      <c r="N485">
        <v>74.260000000000005</v>
      </c>
      <c r="O485">
        <v>34477.129999999997</v>
      </c>
      <c r="P485">
        <v>201.76</v>
      </c>
      <c r="Q485">
        <v>988.14</v>
      </c>
      <c r="R485">
        <v>48.46</v>
      </c>
      <c r="S485">
        <v>35.43</v>
      </c>
      <c r="T485">
        <v>5449.69</v>
      </c>
      <c r="U485">
        <v>0.73</v>
      </c>
      <c r="V485">
        <v>0.87</v>
      </c>
      <c r="W485">
        <v>3</v>
      </c>
      <c r="X485">
        <v>0.35</v>
      </c>
      <c r="Y485">
        <v>1</v>
      </c>
      <c r="Z485">
        <v>10</v>
      </c>
    </row>
    <row r="486" spans="1:26" x14ac:dyDescent="0.3">
      <c r="A486">
        <v>31</v>
      </c>
      <c r="B486">
        <v>135</v>
      </c>
      <c r="C486" t="s">
        <v>26</v>
      </c>
      <c r="D486">
        <v>5.9329999999999998</v>
      </c>
      <c r="E486">
        <v>16.86</v>
      </c>
      <c r="F486">
        <v>13.09</v>
      </c>
      <c r="G486">
        <v>43.64</v>
      </c>
      <c r="H486">
        <v>0.56000000000000005</v>
      </c>
      <c r="I486">
        <v>18</v>
      </c>
      <c r="J486">
        <v>278.13</v>
      </c>
      <c r="K486">
        <v>59.89</v>
      </c>
      <c r="L486">
        <v>8.75</v>
      </c>
      <c r="M486">
        <v>16</v>
      </c>
      <c r="N486">
        <v>74.5</v>
      </c>
      <c r="O486">
        <v>34537.410000000003</v>
      </c>
      <c r="P486">
        <v>201.38</v>
      </c>
      <c r="Q486">
        <v>988.11</v>
      </c>
      <c r="R486">
        <v>48.36</v>
      </c>
      <c r="S486">
        <v>35.43</v>
      </c>
      <c r="T486">
        <v>5401.17</v>
      </c>
      <c r="U486">
        <v>0.73</v>
      </c>
      <c r="V486">
        <v>0.87</v>
      </c>
      <c r="W486">
        <v>2.99</v>
      </c>
      <c r="X486">
        <v>0.34</v>
      </c>
      <c r="Y486">
        <v>1</v>
      </c>
      <c r="Z486">
        <v>10</v>
      </c>
    </row>
    <row r="487" spans="1:26" x14ac:dyDescent="0.3">
      <c r="A487">
        <v>32</v>
      </c>
      <c r="B487">
        <v>135</v>
      </c>
      <c r="C487" t="s">
        <v>26</v>
      </c>
      <c r="D487">
        <v>5.9555999999999996</v>
      </c>
      <c r="E487">
        <v>16.79</v>
      </c>
      <c r="F487">
        <v>13.08</v>
      </c>
      <c r="G487">
        <v>46.16</v>
      </c>
      <c r="H487">
        <v>0.57999999999999996</v>
      </c>
      <c r="I487">
        <v>17</v>
      </c>
      <c r="J487">
        <v>278.62</v>
      </c>
      <c r="K487">
        <v>59.89</v>
      </c>
      <c r="L487">
        <v>9</v>
      </c>
      <c r="M487">
        <v>15</v>
      </c>
      <c r="N487">
        <v>74.739999999999995</v>
      </c>
      <c r="O487">
        <v>34597.800000000003</v>
      </c>
      <c r="P487">
        <v>199.39</v>
      </c>
      <c r="Q487">
        <v>988.09</v>
      </c>
      <c r="R487">
        <v>47.95</v>
      </c>
      <c r="S487">
        <v>35.43</v>
      </c>
      <c r="T487">
        <v>5199.49</v>
      </c>
      <c r="U487">
        <v>0.74</v>
      </c>
      <c r="V487">
        <v>0.87</v>
      </c>
      <c r="W487">
        <v>2.99</v>
      </c>
      <c r="X487">
        <v>0.32</v>
      </c>
      <c r="Y487">
        <v>1</v>
      </c>
      <c r="Z487">
        <v>10</v>
      </c>
    </row>
    <row r="488" spans="1:26" x14ac:dyDescent="0.3">
      <c r="A488">
        <v>33</v>
      </c>
      <c r="B488">
        <v>135</v>
      </c>
      <c r="C488" t="s">
        <v>26</v>
      </c>
      <c r="D488">
        <v>5.9570999999999996</v>
      </c>
      <c r="E488">
        <v>16.79</v>
      </c>
      <c r="F488">
        <v>13.07</v>
      </c>
      <c r="G488">
        <v>46.14</v>
      </c>
      <c r="H488">
        <v>0.59</v>
      </c>
      <c r="I488">
        <v>17</v>
      </c>
      <c r="J488">
        <v>279.11</v>
      </c>
      <c r="K488">
        <v>59.89</v>
      </c>
      <c r="L488">
        <v>9.25</v>
      </c>
      <c r="M488">
        <v>15</v>
      </c>
      <c r="N488">
        <v>74.98</v>
      </c>
      <c r="O488">
        <v>34658.269999999997</v>
      </c>
      <c r="P488">
        <v>198.96</v>
      </c>
      <c r="Q488">
        <v>988.15</v>
      </c>
      <c r="R488">
        <v>47.73</v>
      </c>
      <c r="S488">
        <v>35.43</v>
      </c>
      <c r="T488">
        <v>5089.12</v>
      </c>
      <c r="U488">
        <v>0.74</v>
      </c>
      <c r="V488">
        <v>0.87</v>
      </c>
      <c r="W488">
        <v>2.99</v>
      </c>
      <c r="X488">
        <v>0.32</v>
      </c>
      <c r="Y488">
        <v>1</v>
      </c>
      <c r="Z488">
        <v>10</v>
      </c>
    </row>
    <row r="489" spans="1:26" x14ac:dyDescent="0.3">
      <c r="A489">
        <v>34</v>
      </c>
      <c r="B489">
        <v>135</v>
      </c>
      <c r="C489" t="s">
        <v>26</v>
      </c>
      <c r="D489">
        <v>5.9835000000000003</v>
      </c>
      <c r="E489">
        <v>16.71</v>
      </c>
      <c r="F489">
        <v>13.05</v>
      </c>
      <c r="G489">
        <v>48.94</v>
      </c>
      <c r="H489">
        <v>0.6</v>
      </c>
      <c r="I489">
        <v>16</v>
      </c>
      <c r="J489">
        <v>279.61</v>
      </c>
      <c r="K489">
        <v>59.89</v>
      </c>
      <c r="L489">
        <v>9.5</v>
      </c>
      <c r="M489">
        <v>14</v>
      </c>
      <c r="N489">
        <v>75.22</v>
      </c>
      <c r="O489">
        <v>34718.839999999997</v>
      </c>
      <c r="P489">
        <v>198.24</v>
      </c>
      <c r="Q489">
        <v>988.08</v>
      </c>
      <c r="R489">
        <v>46.99</v>
      </c>
      <c r="S489">
        <v>35.43</v>
      </c>
      <c r="T489">
        <v>4727.6000000000004</v>
      </c>
      <c r="U489">
        <v>0.75</v>
      </c>
      <c r="V489">
        <v>0.87</v>
      </c>
      <c r="W489">
        <v>2.99</v>
      </c>
      <c r="X489">
        <v>0.3</v>
      </c>
      <c r="Y489">
        <v>1</v>
      </c>
      <c r="Z489">
        <v>10</v>
      </c>
    </row>
    <row r="490" spans="1:26" x14ac:dyDescent="0.3">
      <c r="A490">
        <v>35</v>
      </c>
      <c r="B490">
        <v>135</v>
      </c>
      <c r="C490" t="s">
        <v>26</v>
      </c>
      <c r="D490">
        <v>5.9863</v>
      </c>
      <c r="E490">
        <v>16.7</v>
      </c>
      <c r="F490">
        <v>13.04</v>
      </c>
      <c r="G490">
        <v>48.91</v>
      </c>
      <c r="H490">
        <v>0.62</v>
      </c>
      <c r="I490">
        <v>16</v>
      </c>
      <c r="J490">
        <v>280.10000000000002</v>
      </c>
      <c r="K490">
        <v>59.89</v>
      </c>
      <c r="L490">
        <v>9.75</v>
      </c>
      <c r="M490">
        <v>14</v>
      </c>
      <c r="N490">
        <v>75.459999999999994</v>
      </c>
      <c r="O490">
        <v>34779.51</v>
      </c>
      <c r="P490">
        <v>197.72</v>
      </c>
      <c r="Q490">
        <v>988.17</v>
      </c>
      <c r="R490">
        <v>46.85</v>
      </c>
      <c r="S490">
        <v>35.43</v>
      </c>
      <c r="T490">
        <v>4653.9799999999996</v>
      </c>
      <c r="U490">
        <v>0.76</v>
      </c>
      <c r="V490">
        <v>0.87</v>
      </c>
      <c r="W490">
        <v>2.99</v>
      </c>
      <c r="X490">
        <v>0.28999999999999998</v>
      </c>
      <c r="Y490">
        <v>1</v>
      </c>
      <c r="Z490">
        <v>10</v>
      </c>
    </row>
    <row r="491" spans="1:26" x14ac:dyDescent="0.3">
      <c r="A491">
        <v>36</v>
      </c>
      <c r="B491">
        <v>135</v>
      </c>
      <c r="C491" t="s">
        <v>26</v>
      </c>
      <c r="D491">
        <v>5.9821</v>
      </c>
      <c r="E491">
        <v>16.72</v>
      </c>
      <c r="F491">
        <v>13.05</v>
      </c>
      <c r="G491">
        <v>48.96</v>
      </c>
      <c r="H491">
        <v>0.63</v>
      </c>
      <c r="I491">
        <v>16</v>
      </c>
      <c r="J491">
        <v>280.58999999999997</v>
      </c>
      <c r="K491">
        <v>59.89</v>
      </c>
      <c r="L491">
        <v>10</v>
      </c>
      <c r="M491">
        <v>14</v>
      </c>
      <c r="N491">
        <v>75.7</v>
      </c>
      <c r="O491">
        <v>34840.269999999997</v>
      </c>
      <c r="P491">
        <v>196.69</v>
      </c>
      <c r="Q491">
        <v>988.08</v>
      </c>
      <c r="R491">
        <v>47.24</v>
      </c>
      <c r="S491">
        <v>35.43</v>
      </c>
      <c r="T491">
        <v>4850.57</v>
      </c>
      <c r="U491">
        <v>0.75</v>
      </c>
      <c r="V491">
        <v>0.87</v>
      </c>
      <c r="W491">
        <v>2.99</v>
      </c>
      <c r="X491">
        <v>0.3</v>
      </c>
      <c r="Y491">
        <v>1</v>
      </c>
      <c r="Z491">
        <v>10</v>
      </c>
    </row>
    <row r="492" spans="1:26" x14ac:dyDescent="0.3">
      <c r="A492">
        <v>37</v>
      </c>
      <c r="B492">
        <v>135</v>
      </c>
      <c r="C492" t="s">
        <v>26</v>
      </c>
      <c r="D492">
        <v>6.0060000000000002</v>
      </c>
      <c r="E492">
        <v>16.649999999999999</v>
      </c>
      <c r="F492">
        <v>13.04</v>
      </c>
      <c r="G492">
        <v>52.15</v>
      </c>
      <c r="H492">
        <v>0.65</v>
      </c>
      <c r="I492">
        <v>15</v>
      </c>
      <c r="J492">
        <v>281.08</v>
      </c>
      <c r="K492">
        <v>59.89</v>
      </c>
      <c r="L492">
        <v>10.25</v>
      </c>
      <c r="M492">
        <v>13</v>
      </c>
      <c r="N492">
        <v>75.95</v>
      </c>
      <c r="O492">
        <v>34901.129999999997</v>
      </c>
      <c r="P492">
        <v>196.18</v>
      </c>
      <c r="Q492">
        <v>988.14</v>
      </c>
      <c r="R492">
        <v>46.7</v>
      </c>
      <c r="S492">
        <v>35.43</v>
      </c>
      <c r="T492">
        <v>4588.3599999999997</v>
      </c>
      <c r="U492">
        <v>0.76</v>
      </c>
      <c r="V492">
        <v>0.87</v>
      </c>
      <c r="W492">
        <v>2.99</v>
      </c>
      <c r="X492">
        <v>0.28000000000000003</v>
      </c>
      <c r="Y492">
        <v>1</v>
      </c>
      <c r="Z492">
        <v>10</v>
      </c>
    </row>
    <row r="493" spans="1:26" x14ac:dyDescent="0.3">
      <c r="A493">
        <v>38</v>
      </c>
      <c r="B493">
        <v>135</v>
      </c>
      <c r="C493" t="s">
        <v>26</v>
      </c>
      <c r="D493">
        <v>6.0121000000000002</v>
      </c>
      <c r="E493">
        <v>16.63</v>
      </c>
      <c r="F493">
        <v>13.02</v>
      </c>
      <c r="G493">
        <v>52.09</v>
      </c>
      <c r="H493">
        <v>0.66</v>
      </c>
      <c r="I493">
        <v>15</v>
      </c>
      <c r="J493">
        <v>281.58</v>
      </c>
      <c r="K493">
        <v>59.89</v>
      </c>
      <c r="L493">
        <v>10.5</v>
      </c>
      <c r="M493">
        <v>13</v>
      </c>
      <c r="N493">
        <v>76.19</v>
      </c>
      <c r="O493">
        <v>34962.080000000002</v>
      </c>
      <c r="P493">
        <v>195.26</v>
      </c>
      <c r="Q493">
        <v>988.09</v>
      </c>
      <c r="R493">
        <v>46.17</v>
      </c>
      <c r="S493">
        <v>35.43</v>
      </c>
      <c r="T493">
        <v>4321.3999999999996</v>
      </c>
      <c r="U493">
        <v>0.77</v>
      </c>
      <c r="V493">
        <v>0.88</v>
      </c>
      <c r="W493">
        <v>2.98</v>
      </c>
      <c r="X493">
        <v>0.27</v>
      </c>
      <c r="Y493">
        <v>1</v>
      </c>
      <c r="Z493">
        <v>10</v>
      </c>
    </row>
    <row r="494" spans="1:26" x14ac:dyDescent="0.3">
      <c r="A494">
        <v>39</v>
      </c>
      <c r="B494">
        <v>135</v>
      </c>
      <c r="C494" t="s">
        <v>26</v>
      </c>
      <c r="D494">
        <v>6.0353000000000003</v>
      </c>
      <c r="E494">
        <v>16.57</v>
      </c>
      <c r="F494">
        <v>13.01</v>
      </c>
      <c r="G494">
        <v>55.75</v>
      </c>
      <c r="H494">
        <v>0.68</v>
      </c>
      <c r="I494">
        <v>14</v>
      </c>
      <c r="J494">
        <v>282.07</v>
      </c>
      <c r="K494">
        <v>59.89</v>
      </c>
      <c r="L494">
        <v>10.75</v>
      </c>
      <c r="M494">
        <v>12</v>
      </c>
      <c r="N494">
        <v>76.44</v>
      </c>
      <c r="O494">
        <v>35023.129999999997</v>
      </c>
      <c r="P494">
        <v>194.18</v>
      </c>
      <c r="Q494">
        <v>988.1</v>
      </c>
      <c r="R494">
        <v>45.71</v>
      </c>
      <c r="S494">
        <v>35.43</v>
      </c>
      <c r="T494">
        <v>4097.72</v>
      </c>
      <c r="U494">
        <v>0.78</v>
      </c>
      <c r="V494">
        <v>0.88</v>
      </c>
      <c r="W494">
        <v>2.99</v>
      </c>
      <c r="X494">
        <v>0.25</v>
      </c>
      <c r="Y494">
        <v>1</v>
      </c>
      <c r="Z494">
        <v>10</v>
      </c>
    </row>
    <row r="495" spans="1:26" x14ac:dyDescent="0.3">
      <c r="A495">
        <v>40</v>
      </c>
      <c r="B495">
        <v>135</v>
      </c>
      <c r="C495" t="s">
        <v>26</v>
      </c>
      <c r="D495">
        <v>6.0372000000000003</v>
      </c>
      <c r="E495">
        <v>16.559999999999999</v>
      </c>
      <c r="F495">
        <v>13</v>
      </c>
      <c r="G495">
        <v>55.73</v>
      </c>
      <c r="H495">
        <v>0.69</v>
      </c>
      <c r="I495">
        <v>14</v>
      </c>
      <c r="J495">
        <v>282.57</v>
      </c>
      <c r="K495">
        <v>59.89</v>
      </c>
      <c r="L495">
        <v>11</v>
      </c>
      <c r="M495">
        <v>12</v>
      </c>
      <c r="N495">
        <v>76.680000000000007</v>
      </c>
      <c r="O495">
        <v>35084.28</v>
      </c>
      <c r="P495">
        <v>194.1</v>
      </c>
      <c r="Q495">
        <v>988.08</v>
      </c>
      <c r="R495">
        <v>45.44</v>
      </c>
      <c r="S495">
        <v>35.43</v>
      </c>
      <c r="T495">
        <v>3961.82</v>
      </c>
      <c r="U495">
        <v>0.78</v>
      </c>
      <c r="V495">
        <v>0.88</v>
      </c>
      <c r="W495">
        <v>2.99</v>
      </c>
      <c r="X495">
        <v>0.25</v>
      </c>
      <c r="Y495">
        <v>1</v>
      </c>
      <c r="Z495">
        <v>10</v>
      </c>
    </row>
    <row r="496" spans="1:26" x14ac:dyDescent="0.3">
      <c r="A496">
        <v>41</v>
      </c>
      <c r="B496">
        <v>135</v>
      </c>
      <c r="C496" t="s">
        <v>26</v>
      </c>
      <c r="D496">
        <v>6.0377000000000001</v>
      </c>
      <c r="E496">
        <v>16.559999999999999</v>
      </c>
      <c r="F496">
        <v>13</v>
      </c>
      <c r="G496">
        <v>55.72</v>
      </c>
      <c r="H496">
        <v>0.71</v>
      </c>
      <c r="I496">
        <v>14</v>
      </c>
      <c r="J496">
        <v>283.06</v>
      </c>
      <c r="K496">
        <v>59.89</v>
      </c>
      <c r="L496">
        <v>11.25</v>
      </c>
      <c r="M496">
        <v>12</v>
      </c>
      <c r="N496">
        <v>76.930000000000007</v>
      </c>
      <c r="O496">
        <v>35145.53</v>
      </c>
      <c r="P496">
        <v>192.9</v>
      </c>
      <c r="Q496">
        <v>988.15</v>
      </c>
      <c r="R496">
        <v>45.29</v>
      </c>
      <c r="S496">
        <v>35.43</v>
      </c>
      <c r="T496">
        <v>3883.92</v>
      </c>
      <c r="U496">
        <v>0.78</v>
      </c>
      <c r="V496">
        <v>0.88</v>
      </c>
      <c r="W496">
        <v>2.99</v>
      </c>
      <c r="X496">
        <v>0.25</v>
      </c>
      <c r="Y496">
        <v>1</v>
      </c>
      <c r="Z496">
        <v>10</v>
      </c>
    </row>
    <row r="497" spans="1:26" x14ac:dyDescent="0.3">
      <c r="A497">
        <v>42</v>
      </c>
      <c r="B497">
        <v>135</v>
      </c>
      <c r="C497" t="s">
        <v>26</v>
      </c>
      <c r="D497">
        <v>6.0601000000000003</v>
      </c>
      <c r="E497">
        <v>16.5</v>
      </c>
      <c r="F497">
        <v>12.99</v>
      </c>
      <c r="G497">
        <v>59.96</v>
      </c>
      <c r="H497">
        <v>0.72</v>
      </c>
      <c r="I497">
        <v>13</v>
      </c>
      <c r="J497">
        <v>283.56</v>
      </c>
      <c r="K497">
        <v>59.89</v>
      </c>
      <c r="L497">
        <v>11.5</v>
      </c>
      <c r="M497">
        <v>11</v>
      </c>
      <c r="N497">
        <v>77.180000000000007</v>
      </c>
      <c r="O497">
        <v>35206.879999999997</v>
      </c>
      <c r="P497">
        <v>191.3</v>
      </c>
      <c r="Q497">
        <v>988.14</v>
      </c>
      <c r="R497">
        <v>45.15</v>
      </c>
      <c r="S497">
        <v>35.43</v>
      </c>
      <c r="T497">
        <v>3819.71</v>
      </c>
      <c r="U497">
        <v>0.78</v>
      </c>
      <c r="V497">
        <v>0.88</v>
      </c>
      <c r="W497">
        <v>2.98</v>
      </c>
      <c r="X497">
        <v>0.24</v>
      </c>
      <c r="Y497">
        <v>1</v>
      </c>
      <c r="Z497">
        <v>10</v>
      </c>
    </row>
    <row r="498" spans="1:26" x14ac:dyDescent="0.3">
      <c r="A498">
        <v>43</v>
      </c>
      <c r="B498">
        <v>135</v>
      </c>
      <c r="C498" t="s">
        <v>26</v>
      </c>
      <c r="D498">
        <v>6.0579000000000001</v>
      </c>
      <c r="E498">
        <v>16.510000000000002</v>
      </c>
      <c r="F498">
        <v>13</v>
      </c>
      <c r="G498">
        <v>59.99</v>
      </c>
      <c r="H498">
        <v>0.74</v>
      </c>
      <c r="I498">
        <v>13</v>
      </c>
      <c r="J498">
        <v>284.06</v>
      </c>
      <c r="K498">
        <v>59.89</v>
      </c>
      <c r="L498">
        <v>11.75</v>
      </c>
      <c r="M498">
        <v>11</v>
      </c>
      <c r="N498">
        <v>77.42</v>
      </c>
      <c r="O498">
        <v>35268.32</v>
      </c>
      <c r="P498">
        <v>191.09</v>
      </c>
      <c r="Q498">
        <v>988.12</v>
      </c>
      <c r="R498">
        <v>45.45</v>
      </c>
      <c r="S498">
        <v>35.43</v>
      </c>
      <c r="T498">
        <v>3971.32</v>
      </c>
      <c r="U498">
        <v>0.78</v>
      </c>
      <c r="V498">
        <v>0.88</v>
      </c>
      <c r="W498">
        <v>2.98</v>
      </c>
      <c r="X498">
        <v>0.24</v>
      </c>
      <c r="Y498">
        <v>1</v>
      </c>
      <c r="Z498">
        <v>10</v>
      </c>
    </row>
    <row r="499" spans="1:26" x14ac:dyDescent="0.3">
      <c r="A499">
        <v>44</v>
      </c>
      <c r="B499">
        <v>135</v>
      </c>
      <c r="C499" t="s">
        <v>26</v>
      </c>
      <c r="D499">
        <v>6.0557999999999996</v>
      </c>
      <c r="E499">
        <v>16.510000000000002</v>
      </c>
      <c r="F499">
        <v>13</v>
      </c>
      <c r="G499">
        <v>60.01</v>
      </c>
      <c r="H499">
        <v>0.75</v>
      </c>
      <c r="I499">
        <v>13</v>
      </c>
      <c r="J499">
        <v>284.56</v>
      </c>
      <c r="K499">
        <v>59.89</v>
      </c>
      <c r="L499">
        <v>12</v>
      </c>
      <c r="M499">
        <v>11</v>
      </c>
      <c r="N499">
        <v>77.67</v>
      </c>
      <c r="O499">
        <v>35329.870000000003</v>
      </c>
      <c r="P499">
        <v>191.05</v>
      </c>
      <c r="Q499">
        <v>988.17</v>
      </c>
      <c r="R499">
        <v>45.4</v>
      </c>
      <c r="S499">
        <v>35.43</v>
      </c>
      <c r="T499">
        <v>3946.86</v>
      </c>
      <c r="U499">
        <v>0.78</v>
      </c>
      <c r="V499">
        <v>0.88</v>
      </c>
      <c r="W499">
        <v>2.99</v>
      </c>
      <c r="X499">
        <v>0.25</v>
      </c>
      <c r="Y499">
        <v>1</v>
      </c>
      <c r="Z499">
        <v>10</v>
      </c>
    </row>
    <row r="500" spans="1:26" x14ac:dyDescent="0.3">
      <c r="A500">
        <v>45</v>
      </c>
      <c r="B500">
        <v>135</v>
      </c>
      <c r="C500" t="s">
        <v>26</v>
      </c>
      <c r="D500">
        <v>6.0625</v>
      </c>
      <c r="E500">
        <v>16.489999999999998</v>
      </c>
      <c r="F500">
        <v>12.98</v>
      </c>
      <c r="G500">
        <v>59.93</v>
      </c>
      <c r="H500">
        <v>0.77</v>
      </c>
      <c r="I500">
        <v>13</v>
      </c>
      <c r="J500">
        <v>285.06</v>
      </c>
      <c r="K500">
        <v>59.89</v>
      </c>
      <c r="L500">
        <v>12.25</v>
      </c>
      <c r="M500">
        <v>11</v>
      </c>
      <c r="N500">
        <v>77.92</v>
      </c>
      <c r="O500">
        <v>35391.51</v>
      </c>
      <c r="P500">
        <v>188.98</v>
      </c>
      <c r="Q500">
        <v>988.11</v>
      </c>
      <c r="R500">
        <v>44.98</v>
      </c>
      <c r="S500">
        <v>35.43</v>
      </c>
      <c r="T500">
        <v>3738.45</v>
      </c>
      <c r="U500">
        <v>0.79</v>
      </c>
      <c r="V500">
        <v>0.88</v>
      </c>
      <c r="W500">
        <v>2.98</v>
      </c>
      <c r="X500">
        <v>0.23</v>
      </c>
      <c r="Y500">
        <v>1</v>
      </c>
      <c r="Z500">
        <v>10</v>
      </c>
    </row>
    <row r="501" spans="1:26" x14ac:dyDescent="0.3">
      <c r="A501">
        <v>46</v>
      </c>
      <c r="B501">
        <v>135</v>
      </c>
      <c r="C501" t="s">
        <v>26</v>
      </c>
      <c r="D501">
        <v>6.0869999999999997</v>
      </c>
      <c r="E501">
        <v>16.43</v>
      </c>
      <c r="F501">
        <v>12.97</v>
      </c>
      <c r="G501">
        <v>64.84</v>
      </c>
      <c r="H501">
        <v>0.78</v>
      </c>
      <c r="I501">
        <v>12</v>
      </c>
      <c r="J501">
        <v>285.56</v>
      </c>
      <c r="K501">
        <v>59.89</v>
      </c>
      <c r="L501">
        <v>12.5</v>
      </c>
      <c r="M501">
        <v>10</v>
      </c>
      <c r="N501">
        <v>78.17</v>
      </c>
      <c r="O501">
        <v>35453.26</v>
      </c>
      <c r="P501">
        <v>188.01</v>
      </c>
      <c r="Q501">
        <v>988.12</v>
      </c>
      <c r="R501">
        <v>44.44</v>
      </c>
      <c r="S501">
        <v>35.43</v>
      </c>
      <c r="T501">
        <v>3471.51</v>
      </c>
      <c r="U501">
        <v>0.8</v>
      </c>
      <c r="V501">
        <v>0.88</v>
      </c>
      <c r="W501">
        <v>2.98</v>
      </c>
      <c r="X501">
        <v>0.21</v>
      </c>
      <c r="Y501">
        <v>1</v>
      </c>
      <c r="Z501">
        <v>10</v>
      </c>
    </row>
    <row r="502" spans="1:26" x14ac:dyDescent="0.3">
      <c r="A502">
        <v>47</v>
      </c>
      <c r="B502">
        <v>135</v>
      </c>
      <c r="C502" t="s">
        <v>26</v>
      </c>
      <c r="D502">
        <v>6.0877999999999997</v>
      </c>
      <c r="E502">
        <v>16.43</v>
      </c>
      <c r="F502">
        <v>12.97</v>
      </c>
      <c r="G502">
        <v>64.83</v>
      </c>
      <c r="H502">
        <v>0.79</v>
      </c>
      <c r="I502">
        <v>12</v>
      </c>
      <c r="J502">
        <v>286.06</v>
      </c>
      <c r="K502">
        <v>59.89</v>
      </c>
      <c r="L502">
        <v>12.75</v>
      </c>
      <c r="M502">
        <v>10</v>
      </c>
      <c r="N502">
        <v>78.42</v>
      </c>
      <c r="O502">
        <v>35515.1</v>
      </c>
      <c r="P502">
        <v>187.8</v>
      </c>
      <c r="Q502">
        <v>988.18</v>
      </c>
      <c r="R502">
        <v>44.34</v>
      </c>
      <c r="S502">
        <v>35.43</v>
      </c>
      <c r="T502">
        <v>3420.42</v>
      </c>
      <c r="U502">
        <v>0.8</v>
      </c>
      <c r="V502">
        <v>0.88</v>
      </c>
      <c r="W502">
        <v>2.98</v>
      </c>
      <c r="X502">
        <v>0.21</v>
      </c>
      <c r="Y502">
        <v>1</v>
      </c>
      <c r="Z502">
        <v>10</v>
      </c>
    </row>
    <row r="503" spans="1:26" x14ac:dyDescent="0.3">
      <c r="A503">
        <v>48</v>
      </c>
      <c r="B503">
        <v>135</v>
      </c>
      <c r="C503" t="s">
        <v>26</v>
      </c>
      <c r="D503">
        <v>6.0869999999999997</v>
      </c>
      <c r="E503">
        <v>16.43</v>
      </c>
      <c r="F503">
        <v>12.97</v>
      </c>
      <c r="G503">
        <v>64.84</v>
      </c>
      <c r="H503">
        <v>0.81</v>
      </c>
      <c r="I503">
        <v>12</v>
      </c>
      <c r="J503">
        <v>286.56</v>
      </c>
      <c r="K503">
        <v>59.89</v>
      </c>
      <c r="L503">
        <v>13</v>
      </c>
      <c r="M503">
        <v>10</v>
      </c>
      <c r="N503">
        <v>78.680000000000007</v>
      </c>
      <c r="O503">
        <v>35577.18</v>
      </c>
      <c r="P503">
        <v>186.95</v>
      </c>
      <c r="Q503">
        <v>988.09</v>
      </c>
      <c r="R503">
        <v>44.36</v>
      </c>
      <c r="S503">
        <v>35.43</v>
      </c>
      <c r="T503">
        <v>3431.89</v>
      </c>
      <c r="U503">
        <v>0.8</v>
      </c>
      <c r="V503">
        <v>0.88</v>
      </c>
      <c r="W503">
        <v>2.99</v>
      </c>
      <c r="X503">
        <v>0.21</v>
      </c>
      <c r="Y503">
        <v>1</v>
      </c>
      <c r="Z503">
        <v>10</v>
      </c>
    </row>
    <row r="504" spans="1:26" x14ac:dyDescent="0.3">
      <c r="A504">
        <v>49</v>
      </c>
      <c r="B504">
        <v>135</v>
      </c>
      <c r="C504" t="s">
        <v>26</v>
      </c>
      <c r="D504">
        <v>6.0876000000000001</v>
      </c>
      <c r="E504">
        <v>16.43</v>
      </c>
      <c r="F504">
        <v>12.97</v>
      </c>
      <c r="G504">
        <v>64.84</v>
      </c>
      <c r="H504">
        <v>0.82</v>
      </c>
      <c r="I504">
        <v>12</v>
      </c>
      <c r="J504">
        <v>287.07</v>
      </c>
      <c r="K504">
        <v>59.89</v>
      </c>
      <c r="L504">
        <v>13.25</v>
      </c>
      <c r="M504">
        <v>10</v>
      </c>
      <c r="N504">
        <v>78.930000000000007</v>
      </c>
      <c r="O504">
        <v>35639.230000000003</v>
      </c>
      <c r="P504">
        <v>185.71</v>
      </c>
      <c r="Q504">
        <v>988.09</v>
      </c>
      <c r="R504">
        <v>44.42</v>
      </c>
      <c r="S504">
        <v>35.43</v>
      </c>
      <c r="T504">
        <v>3459.65</v>
      </c>
      <c r="U504">
        <v>0.8</v>
      </c>
      <c r="V504">
        <v>0.88</v>
      </c>
      <c r="W504">
        <v>2.98</v>
      </c>
      <c r="X504">
        <v>0.21</v>
      </c>
      <c r="Y504">
        <v>1</v>
      </c>
      <c r="Z504">
        <v>10</v>
      </c>
    </row>
    <row r="505" spans="1:26" x14ac:dyDescent="0.3">
      <c r="A505">
        <v>50</v>
      </c>
      <c r="B505">
        <v>135</v>
      </c>
      <c r="C505" t="s">
        <v>26</v>
      </c>
      <c r="D505">
        <v>6.1085000000000003</v>
      </c>
      <c r="E505">
        <v>16.37</v>
      </c>
      <c r="F505">
        <v>12.96</v>
      </c>
      <c r="G505">
        <v>70.7</v>
      </c>
      <c r="H505">
        <v>0.84</v>
      </c>
      <c r="I505">
        <v>11</v>
      </c>
      <c r="J505">
        <v>287.57</v>
      </c>
      <c r="K505">
        <v>59.89</v>
      </c>
      <c r="L505">
        <v>13.5</v>
      </c>
      <c r="M505">
        <v>9</v>
      </c>
      <c r="N505">
        <v>79.180000000000007</v>
      </c>
      <c r="O505">
        <v>35701.379999999997</v>
      </c>
      <c r="P505">
        <v>185.3</v>
      </c>
      <c r="Q505">
        <v>988.1</v>
      </c>
      <c r="R505">
        <v>44.22</v>
      </c>
      <c r="S505">
        <v>35.43</v>
      </c>
      <c r="T505">
        <v>3367.01</v>
      </c>
      <c r="U505">
        <v>0.8</v>
      </c>
      <c r="V505">
        <v>0.88</v>
      </c>
      <c r="W505">
        <v>2.98</v>
      </c>
      <c r="X505">
        <v>0.21</v>
      </c>
      <c r="Y505">
        <v>1</v>
      </c>
      <c r="Z505">
        <v>10</v>
      </c>
    </row>
    <row r="506" spans="1:26" x14ac:dyDescent="0.3">
      <c r="A506">
        <v>51</v>
      </c>
      <c r="B506">
        <v>135</v>
      </c>
      <c r="C506" t="s">
        <v>26</v>
      </c>
      <c r="D506">
        <v>6.1125999999999996</v>
      </c>
      <c r="E506">
        <v>16.36</v>
      </c>
      <c r="F506">
        <v>12.95</v>
      </c>
      <c r="G506">
        <v>70.64</v>
      </c>
      <c r="H506">
        <v>0.85</v>
      </c>
      <c r="I506">
        <v>11</v>
      </c>
      <c r="J506">
        <v>288.08</v>
      </c>
      <c r="K506">
        <v>59.89</v>
      </c>
      <c r="L506">
        <v>13.75</v>
      </c>
      <c r="M506">
        <v>9</v>
      </c>
      <c r="N506">
        <v>79.44</v>
      </c>
      <c r="O506">
        <v>35763.64</v>
      </c>
      <c r="P506">
        <v>184.73</v>
      </c>
      <c r="Q506">
        <v>988.08</v>
      </c>
      <c r="R506">
        <v>43.78</v>
      </c>
      <c r="S506">
        <v>35.43</v>
      </c>
      <c r="T506">
        <v>3144.92</v>
      </c>
      <c r="U506">
        <v>0.81</v>
      </c>
      <c r="V506">
        <v>0.88</v>
      </c>
      <c r="W506">
        <v>2.98</v>
      </c>
      <c r="X506">
        <v>0.2</v>
      </c>
      <c r="Y506">
        <v>1</v>
      </c>
      <c r="Z506">
        <v>10</v>
      </c>
    </row>
    <row r="507" spans="1:26" x14ac:dyDescent="0.3">
      <c r="A507">
        <v>52</v>
      </c>
      <c r="B507">
        <v>135</v>
      </c>
      <c r="C507" t="s">
        <v>26</v>
      </c>
      <c r="D507">
        <v>6.1125999999999996</v>
      </c>
      <c r="E507">
        <v>16.36</v>
      </c>
      <c r="F507">
        <v>12.95</v>
      </c>
      <c r="G507">
        <v>70.64</v>
      </c>
      <c r="H507">
        <v>0.86</v>
      </c>
      <c r="I507">
        <v>11</v>
      </c>
      <c r="J507">
        <v>288.58</v>
      </c>
      <c r="K507">
        <v>59.89</v>
      </c>
      <c r="L507">
        <v>14</v>
      </c>
      <c r="M507">
        <v>9</v>
      </c>
      <c r="N507">
        <v>79.69</v>
      </c>
      <c r="O507">
        <v>35826</v>
      </c>
      <c r="P507">
        <v>183.75</v>
      </c>
      <c r="Q507">
        <v>988.14</v>
      </c>
      <c r="R507">
        <v>43.85</v>
      </c>
      <c r="S507">
        <v>35.43</v>
      </c>
      <c r="T507">
        <v>3183.49</v>
      </c>
      <c r="U507">
        <v>0.81</v>
      </c>
      <c r="V507">
        <v>0.88</v>
      </c>
      <c r="W507">
        <v>2.98</v>
      </c>
      <c r="X507">
        <v>0.2</v>
      </c>
      <c r="Y507">
        <v>1</v>
      </c>
      <c r="Z507">
        <v>10</v>
      </c>
    </row>
    <row r="508" spans="1:26" x14ac:dyDescent="0.3">
      <c r="A508">
        <v>53</v>
      </c>
      <c r="B508">
        <v>135</v>
      </c>
      <c r="C508" t="s">
        <v>26</v>
      </c>
      <c r="D508">
        <v>6.1139999999999999</v>
      </c>
      <c r="E508">
        <v>16.36</v>
      </c>
      <c r="F508">
        <v>12.95</v>
      </c>
      <c r="G508">
        <v>70.62</v>
      </c>
      <c r="H508">
        <v>0.88</v>
      </c>
      <c r="I508">
        <v>11</v>
      </c>
      <c r="J508">
        <v>289.08999999999997</v>
      </c>
      <c r="K508">
        <v>59.89</v>
      </c>
      <c r="L508">
        <v>14.25</v>
      </c>
      <c r="M508">
        <v>9</v>
      </c>
      <c r="N508">
        <v>79.95</v>
      </c>
      <c r="O508">
        <v>35888.47</v>
      </c>
      <c r="P508">
        <v>182.36</v>
      </c>
      <c r="Q508">
        <v>988.11</v>
      </c>
      <c r="R508">
        <v>43.88</v>
      </c>
      <c r="S508">
        <v>35.43</v>
      </c>
      <c r="T508">
        <v>3196.4</v>
      </c>
      <c r="U508">
        <v>0.81</v>
      </c>
      <c r="V508">
        <v>0.88</v>
      </c>
      <c r="W508">
        <v>2.98</v>
      </c>
      <c r="X508">
        <v>0.19</v>
      </c>
      <c r="Y508">
        <v>1</v>
      </c>
      <c r="Z508">
        <v>10</v>
      </c>
    </row>
    <row r="509" spans="1:26" x14ac:dyDescent="0.3">
      <c r="A509">
        <v>54</v>
      </c>
      <c r="B509">
        <v>135</v>
      </c>
      <c r="C509" t="s">
        <v>26</v>
      </c>
      <c r="D509">
        <v>6.1391999999999998</v>
      </c>
      <c r="E509">
        <v>16.29</v>
      </c>
      <c r="F509">
        <v>12.93</v>
      </c>
      <c r="G509">
        <v>77.58</v>
      </c>
      <c r="H509">
        <v>0.89</v>
      </c>
      <c r="I509">
        <v>10</v>
      </c>
      <c r="J509">
        <v>289.60000000000002</v>
      </c>
      <c r="K509">
        <v>59.89</v>
      </c>
      <c r="L509">
        <v>14.5</v>
      </c>
      <c r="M509">
        <v>8</v>
      </c>
      <c r="N509">
        <v>80.209999999999994</v>
      </c>
      <c r="O509">
        <v>35951.040000000001</v>
      </c>
      <c r="P509">
        <v>180.78</v>
      </c>
      <c r="Q509">
        <v>988.11</v>
      </c>
      <c r="R509">
        <v>43.05</v>
      </c>
      <c r="S509">
        <v>35.43</v>
      </c>
      <c r="T509">
        <v>2785.26</v>
      </c>
      <c r="U509">
        <v>0.82</v>
      </c>
      <c r="V509">
        <v>0.88</v>
      </c>
      <c r="W509">
        <v>2.99</v>
      </c>
      <c r="X509">
        <v>0.18</v>
      </c>
      <c r="Y509">
        <v>1</v>
      </c>
      <c r="Z509">
        <v>10</v>
      </c>
    </row>
    <row r="510" spans="1:26" x14ac:dyDescent="0.3">
      <c r="A510">
        <v>55</v>
      </c>
      <c r="B510">
        <v>135</v>
      </c>
      <c r="C510" t="s">
        <v>26</v>
      </c>
      <c r="D510">
        <v>6.1405000000000003</v>
      </c>
      <c r="E510">
        <v>16.29</v>
      </c>
      <c r="F510">
        <v>12.93</v>
      </c>
      <c r="G510">
        <v>77.56</v>
      </c>
      <c r="H510">
        <v>0.91</v>
      </c>
      <c r="I510">
        <v>10</v>
      </c>
      <c r="J510">
        <v>290.10000000000002</v>
      </c>
      <c r="K510">
        <v>59.89</v>
      </c>
      <c r="L510">
        <v>14.75</v>
      </c>
      <c r="M510">
        <v>8</v>
      </c>
      <c r="N510">
        <v>80.47</v>
      </c>
      <c r="O510">
        <v>36013.72</v>
      </c>
      <c r="P510">
        <v>179.66</v>
      </c>
      <c r="Q510">
        <v>988.09</v>
      </c>
      <c r="R510">
        <v>43.09</v>
      </c>
      <c r="S510">
        <v>35.43</v>
      </c>
      <c r="T510">
        <v>2803.83</v>
      </c>
      <c r="U510">
        <v>0.82</v>
      </c>
      <c r="V510">
        <v>0.88</v>
      </c>
      <c r="W510">
        <v>2.98</v>
      </c>
      <c r="X510">
        <v>0.17</v>
      </c>
      <c r="Y510">
        <v>1</v>
      </c>
      <c r="Z510">
        <v>10</v>
      </c>
    </row>
    <row r="511" spans="1:26" x14ac:dyDescent="0.3">
      <c r="A511">
        <v>56</v>
      </c>
      <c r="B511">
        <v>135</v>
      </c>
      <c r="C511" t="s">
        <v>26</v>
      </c>
      <c r="D511">
        <v>6.1387999999999998</v>
      </c>
      <c r="E511">
        <v>16.29</v>
      </c>
      <c r="F511">
        <v>12.93</v>
      </c>
      <c r="G511">
        <v>77.59</v>
      </c>
      <c r="H511">
        <v>0.92</v>
      </c>
      <c r="I511">
        <v>10</v>
      </c>
      <c r="J511">
        <v>290.61</v>
      </c>
      <c r="K511">
        <v>59.89</v>
      </c>
      <c r="L511">
        <v>15</v>
      </c>
      <c r="M511">
        <v>8</v>
      </c>
      <c r="N511">
        <v>80.73</v>
      </c>
      <c r="O511">
        <v>36076.5</v>
      </c>
      <c r="P511">
        <v>179.18</v>
      </c>
      <c r="Q511">
        <v>988.1</v>
      </c>
      <c r="R511">
        <v>43.38</v>
      </c>
      <c r="S511">
        <v>35.43</v>
      </c>
      <c r="T511">
        <v>2948.89</v>
      </c>
      <c r="U511">
        <v>0.82</v>
      </c>
      <c r="V511">
        <v>0.88</v>
      </c>
      <c r="W511">
        <v>2.98</v>
      </c>
      <c r="X511">
        <v>0.18</v>
      </c>
      <c r="Y511">
        <v>1</v>
      </c>
      <c r="Z511">
        <v>10</v>
      </c>
    </row>
    <row r="512" spans="1:26" x14ac:dyDescent="0.3">
      <c r="A512">
        <v>57</v>
      </c>
      <c r="B512">
        <v>135</v>
      </c>
      <c r="C512" t="s">
        <v>26</v>
      </c>
      <c r="D512">
        <v>6.1388999999999996</v>
      </c>
      <c r="E512">
        <v>16.29</v>
      </c>
      <c r="F512">
        <v>12.93</v>
      </c>
      <c r="G512">
        <v>77.59</v>
      </c>
      <c r="H512">
        <v>0.93</v>
      </c>
      <c r="I512">
        <v>10</v>
      </c>
      <c r="J512">
        <v>291.12</v>
      </c>
      <c r="K512">
        <v>59.89</v>
      </c>
      <c r="L512">
        <v>15.25</v>
      </c>
      <c r="M512">
        <v>8</v>
      </c>
      <c r="N512">
        <v>80.989999999999995</v>
      </c>
      <c r="O512">
        <v>36139.39</v>
      </c>
      <c r="P512">
        <v>178.79</v>
      </c>
      <c r="Q512">
        <v>988.08</v>
      </c>
      <c r="R512">
        <v>43.27</v>
      </c>
      <c r="S512">
        <v>35.43</v>
      </c>
      <c r="T512">
        <v>2894.67</v>
      </c>
      <c r="U512">
        <v>0.82</v>
      </c>
      <c r="V512">
        <v>0.88</v>
      </c>
      <c r="W512">
        <v>2.98</v>
      </c>
      <c r="X512">
        <v>0.18</v>
      </c>
      <c r="Y512">
        <v>1</v>
      </c>
      <c r="Z512">
        <v>10</v>
      </c>
    </row>
    <row r="513" spans="1:26" x14ac:dyDescent="0.3">
      <c r="A513">
        <v>58</v>
      </c>
      <c r="B513">
        <v>135</v>
      </c>
      <c r="C513" t="s">
        <v>26</v>
      </c>
      <c r="D513">
        <v>6.1417999999999999</v>
      </c>
      <c r="E513">
        <v>16.28</v>
      </c>
      <c r="F513">
        <v>12.92</v>
      </c>
      <c r="G513">
        <v>77.540000000000006</v>
      </c>
      <c r="H513">
        <v>0.95</v>
      </c>
      <c r="I513">
        <v>10</v>
      </c>
      <c r="J513">
        <v>291.63</v>
      </c>
      <c r="K513">
        <v>59.89</v>
      </c>
      <c r="L513">
        <v>15.5</v>
      </c>
      <c r="M513">
        <v>8</v>
      </c>
      <c r="N513">
        <v>81.25</v>
      </c>
      <c r="O513">
        <v>36202.379999999997</v>
      </c>
      <c r="P513">
        <v>177.43</v>
      </c>
      <c r="Q513">
        <v>988.08</v>
      </c>
      <c r="R513">
        <v>43.03</v>
      </c>
      <c r="S513">
        <v>35.43</v>
      </c>
      <c r="T513">
        <v>2774.98</v>
      </c>
      <c r="U513">
        <v>0.82</v>
      </c>
      <c r="V513">
        <v>0.88</v>
      </c>
      <c r="W513">
        <v>2.98</v>
      </c>
      <c r="X513">
        <v>0.17</v>
      </c>
      <c r="Y513">
        <v>1</v>
      </c>
      <c r="Z513">
        <v>10</v>
      </c>
    </row>
    <row r="514" spans="1:26" x14ac:dyDescent="0.3">
      <c r="A514">
        <v>59</v>
      </c>
      <c r="B514">
        <v>135</v>
      </c>
      <c r="C514" t="s">
        <v>26</v>
      </c>
      <c r="D514">
        <v>6.1643999999999997</v>
      </c>
      <c r="E514">
        <v>16.22</v>
      </c>
      <c r="F514">
        <v>12.91</v>
      </c>
      <c r="G514">
        <v>86.09</v>
      </c>
      <c r="H514">
        <v>0.96</v>
      </c>
      <c r="I514">
        <v>9</v>
      </c>
      <c r="J514">
        <v>292.14999999999998</v>
      </c>
      <c r="K514">
        <v>59.89</v>
      </c>
      <c r="L514">
        <v>15.75</v>
      </c>
      <c r="M514">
        <v>7</v>
      </c>
      <c r="N514">
        <v>81.510000000000005</v>
      </c>
      <c r="O514">
        <v>36265.480000000003</v>
      </c>
      <c r="P514">
        <v>175.75</v>
      </c>
      <c r="Q514">
        <v>988.08</v>
      </c>
      <c r="R514">
        <v>42.7</v>
      </c>
      <c r="S514">
        <v>35.43</v>
      </c>
      <c r="T514">
        <v>2617.6799999999998</v>
      </c>
      <c r="U514">
        <v>0.83</v>
      </c>
      <c r="V514">
        <v>0.88</v>
      </c>
      <c r="W514">
        <v>2.98</v>
      </c>
      <c r="X514">
        <v>0.16</v>
      </c>
      <c r="Y514">
        <v>1</v>
      </c>
      <c r="Z514">
        <v>10</v>
      </c>
    </row>
    <row r="515" spans="1:26" x14ac:dyDescent="0.3">
      <c r="A515">
        <v>60</v>
      </c>
      <c r="B515">
        <v>135</v>
      </c>
      <c r="C515" t="s">
        <v>26</v>
      </c>
      <c r="D515">
        <v>6.1630000000000003</v>
      </c>
      <c r="E515">
        <v>16.23</v>
      </c>
      <c r="F515">
        <v>12.92</v>
      </c>
      <c r="G515">
        <v>86.12</v>
      </c>
      <c r="H515">
        <v>0.97</v>
      </c>
      <c r="I515">
        <v>9</v>
      </c>
      <c r="J515">
        <v>292.66000000000003</v>
      </c>
      <c r="K515">
        <v>59.89</v>
      </c>
      <c r="L515">
        <v>16</v>
      </c>
      <c r="M515">
        <v>7</v>
      </c>
      <c r="N515">
        <v>81.77</v>
      </c>
      <c r="O515">
        <v>36328.69</v>
      </c>
      <c r="P515">
        <v>175.98</v>
      </c>
      <c r="Q515">
        <v>988.08</v>
      </c>
      <c r="R515">
        <v>42.82</v>
      </c>
      <c r="S515">
        <v>35.43</v>
      </c>
      <c r="T515">
        <v>2674.25</v>
      </c>
      <c r="U515">
        <v>0.83</v>
      </c>
      <c r="V515">
        <v>0.88</v>
      </c>
      <c r="W515">
        <v>2.98</v>
      </c>
      <c r="X515">
        <v>0.16</v>
      </c>
      <c r="Y515">
        <v>1</v>
      </c>
      <c r="Z515">
        <v>10</v>
      </c>
    </row>
    <row r="516" spans="1:26" x14ac:dyDescent="0.3">
      <c r="A516">
        <v>61</v>
      </c>
      <c r="B516">
        <v>135</v>
      </c>
      <c r="C516" t="s">
        <v>26</v>
      </c>
      <c r="D516">
        <v>6.1631999999999998</v>
      </c>
      <c r="E516">
        <v>16.23</v>
      </c>
      <c r="F516">
        <v>12.92</v>
      </c>
      <c r="G516">
        <v>86.11</v>
      </c>
      <c r="H516">
        <v>0.99</v>
      </c>
      <c r="I516">
        <v>9</v>
      </c>
      <c r="J516">
        <v>293.17</v>
      </c>
      <c r="K516">
        <v>59.89</v>
      </c>
      <c r="L516">
        <v>16.25</v>
      </c>
      <c r="M516">
        <v>6</v>
      </c>
      <c r="N516">
        <v>82.03</v>
      </c>
      <c r="O516">
        <v>36392.01</v>
      </c>
      <c r="P516">
        <v>176.08</v>
      </c>
      <c r="Q516">
        <v>988.16</v>
      </c>
      <c r="R516">
        <v>42.85</v>
      </c>
      <c r="S516">
        <v>35.43</v>
      </c>
      <c r="T516">
        <v>2692.95</v>
      </c>
      <c r="U516">
        <v>0.83</v>
      </c>
      <c r="V516">
        <v>0.88</v>
      </c>
      <c r="W516">
        <v>2.98</v>
      </c>
      <c r="X516">
        <v>0.16</v>
      </c>
      <c r="Y516">
        <v>1</v>
      </c>
      <c r="Z516">
        <v>10</v>
      </c>
    </row>
    <row r="517" spans="1:26" x14ac:dyDescent="0.3">
      <c r="A517">
        <v>62</v>
      </c>
      <c r="B517">
        <v>135</v>
      </c>
      <c r="C517" t="s">
        <v>26</v>
      </c>
      <c r="D517">
        <v>6.1623000000000001</v>
      </c>
      <c r="E517">
        <v>16.23</v>
      </c>
      <c r="F517">
        <v>12.92</v>
      </c>
      <c r="G517">
        <v>86.13</v>
      </c>
      <c r="H517">
        <v>1</v>
      </c>
      <c r="I517">
        <v>9</v>
      </c>
      <c r="J517">
        <v>293.69</v>
      </c>
      <c r="K517">
        <v>59.89</v>
      </c>
      <c r="L517">
        <v>16.5</v>
      </c>
      <c r="M517">
        <v>4</v>
      </c>
      <c r="N517">
        <v>82.3</v>
      </c>
      <c r="O517">
        <v>36455.440000000002</v>
      </c>
      <c r="P517">
        <v>175.78</v>
      </c>
      <c r="Q517">
        <v>988.14</v>
      </c>
      <c r="R517">
        <v>42.82</v>
      </c>
      <c r="S517">
        <v>35.43</v>
      </c>
      <c r="T517">
        <v>2674.1</v>
      </c>
      <c r="U517">
        <v>0.83</v>
      </c>
      <c r="V517">
        <v>0.88</v>
      </c>
      <c r="W517">
        <v>2.98</v>
      </c>
      <c r="X517">
        <v>0.17</v>
      </c>
      <c r="Y517">
        <v>1</v>
      </c>
      <c r="Z517">
        <v>10</v>
      </c>
    </row>
    <row r="518" spans="1:26" x14ac:dyDescent="0.3">
      <c r="A518">
        <v>63</v>
      </c>
      <c r="B518">
        <v>135</v>
      </c>
      <c r="C518" t="s">
        <v>26</v>
      </c>
      <c r="D518">
        <v>6.1626000000000003</v>
      </c>
      <c r="E518">
        <v>16.23</v>
      </c>
      <c r="F518">
        <v>12.92</v>
      </c>
      <c r="G518">
        <v>86.13</v>
      </c>
      <c r="H518">
        <v>1.01</v>
      </c>
      <c r="I518">
        <v>9</v>
      </c>
      <c r="J518">
        <v>294.2</v>
      </c>
      <c r="K518">
        <v>59.89</v>
      </c>
      <c r="L518">
        <v>16.75</v>
      </c>
      <c r="M518">
        <v>4</v>
      </c>
      <c r="N518">
        <v>82.56</v>
      </c>
      <c r="O518">
        <v>36518.97</v>
      </c>
      <c r="P518">
        <v>175.94</v>
      </c>
      <c r="Q518">
        <v>988.14</v>
      </c>
      <c r="R518">
        <v>42.81</v>
      </c>
      <c r="S518">
        <v>35.43</v>
      </c>
      <c r="T518">
        <v>2669.92</v>
      </c>
      <c r="U518">
        <v>0.83</v>
      </c>
      <c r="V518">
        <v>0.88</v>
      </c>
      <c r="W518">
        <v>2.98</v>
      </c>
      <c r="X518">
        <v>0.17</v>
      </c>
      <c r="Y518">
        <v>1</v>
      </c>
      <c r="Z518">
        <v>10</v>
      </c>
    </row>
    <row r="519" spans="1:26" x14ac:dyDescent="0.3">
      <c r="A519">
        <v>64</v>
      </c>
      <c r="B519">
        <v>135</v>
      </c>
      <c r="C519" t="s">
        <v>26</v>
      </c>
      <c r="D519">
        <v>6.1646000000000001</v>
      </c>
      <c r="E519">
        <v>16.22</v>
      </c>
      <c r="F519">
        <v>12.91</v>
      </c>
      <c r="G519">
        <v>86.09</v>
      </c>
      <c r="H519">
        <v>1.03</v>
      </c>
      <c r="I519">
        <v>9</v>
      </c>
      <c r="J519">
        <v>294.72000000000003</v>
      </c>
      <c r="K519">
        <v>59.89</v>
      </c>
      <c r="L519">
        <v>17</v>
      </c>
      <c r="M519">
        <v>2</v>
      </c>
      <c r="N519">
        <v>82.83</v>
      </c>
      <c r="O519">
        <v>36582.620000000003</v>
      </c>
      <c r="P519">
        <v>174.68</v>
      </c>
      <c r="Q519">
        <v>988.2</v>
      </c>
      <c r="R519">
        <v>42.59</v>
      </c>
      <c r="S519">
        <v>35.43</v>
      </c>
      <c r="T519">
        <v>2561.08</v>
      </c>
      <c r="U519">
        <v>0.83</v>
      </c>
      <c r="V519">
        <v>0.88</v>
      </c>
      <c r="W519">
        <v>2.98</v>
      </c>
      <c r="X519">
        <v>0.16</v>
      </c>
      <c r="Y519">
        <v>1</v>
      </c>
      <c r="Z519">
        <v>10</v>
      </c>
    </row>
    <row r="520" spans="1:26" x14ac:dyDescent="0.3">
      <c r="A520">
        <v>65</v>
      </c>
      <c r="B520">
        <v>135</v>
      </c>
      <c r="C520" t="s">
        <v>26</v>
      </c>
      <c r="D520">
        <v>6.1649000000000003</v>
      </c>
      <c r="E520">
        <v>16.22</v>
      </c>
      <c r="F520">
        <v>12.91</v>
      </c>
      <c r="G520">
        <v>86.09</v>
      </c>
      <c r="H520">
        <v>1.04</v>
      </c>
      <c r="I520">
        <v>9</v>
      </c>
      <c r="J520">
        <v>295.23</v>
      </c>
      <c r="K520">
        <v>59.89</v>
      </c>
      <c r="L520">
        <v>17.25</v>
      </c>
      <c r="M520">
        <v>1</v>
      </c>
      <c r="N520">
        <v>83.1</v>
      </c>
      <c r="O520">
        <v>36646.379999999997</v>
      </c>
      <c r="P520">
        <v>174.71</v>
      </c>
      <c r="Q520">
        <v>988.18</v>
      </c>
      <c r="R520">
        <v>42.57</v>
      </c>
      <c r="S520">
        <v>35.43</v>
      </c>
      <c r="T520">
        <v>2549.46</v>
      </c>
      <c r="U520">
        <v>0.83</v>
      </c>
      <c r="V520">
        <v>0.88</v>
      </c>
      <c r="W520">
        <v>2.98</v>
      </c>
      <c r="X520">
        <v>0.16</v>
      </c>
      <c r="Y520">
        <v>1</v>
      </c>
      <c r="Z520">
        <v>10</v>
      </c>
    </row>
    <row r="521" spans="1:26" x14ac:dyDescent="0.3">
      <c r="A521">
        <v>66</v>
      </c>
      <c r="B521">
        <v>135</v>
      </c>
      <c r="C521" t="s">
        <v>26</v>
      </c>
      <c r="D521">
        <v>6.1642999999999999</v>
      </c>
      <c r="E521">
        <v>16.22</v>
      </c>
      <c r="F521">
        <v>12.91</v>
      </c>
      <c r="G521">
        <v>86.1</v>
      </c>
      <c r="H521">
        <v>1.05</v>
      </c>
      <c r="I521">
        <v>9</v>
      </c>
      <c r="J521">
        <v>295.75</v>
      </c>
      <c r="K521">
        <v>59.89</v>
      </c>
      <c r="L521">
        <v>17.5</v>
      </c>
      <c r="M521">
        <v>0</v>
      </c>
      <c r="N521">
        <v>83.36</v>
      </c>
      <c r="O521">
        <v>36710.239999999998</v>
      </c>
      <c r="P521">
        <v>174.9</v>
      </c>
      <c r="Q521">
        <v>988.18</v>
      </c>
      <c r="R521">
        <v>42.54</v>
      </c>
      <c r="S521">
        <v>35.43</v>
      </c>
      <c r="T521">
        <v>2536.19</v>
      </c>
      <c r="U521">
        <v>0.83</v>
      </c>
      <c r="V521">
        <v>0.88</v>
      </c>
      <c r="W521">
        <v>2.98</v>
      </c>
      <c r="X521">
        <v>0.16</v>
      </c>
      <c r="Y521">
        <v>1</v>
      </c>
      <c r="Z521">
        <v>10</v>
      </c>
    </row>
    <row r="522" spans="1:26" x14ac:dyDescent="0.3">
      <c r="A522">
        <v>0</v>
      </c>
      <c r="B522">
        <v>80</v>
      </c>
      <c r="C522" t="s">
        <v>26</v>
      </c>
      <c r="D522">
        <v>4.4992999999999999</v>
      </c>
      <c r="E522">
        <v>22.23</v>
      </c>
      <c r="F522">
        <v>15.52</v>
      </c>
      <c r="G522">
        <v>6.85</v>
      </c>
      <c r="H522">
        <v>0.11</v>
      </c>
      <c r="I522">
        <v>136</v>
      </c>
      <c r="J522">
        <v>159.12</v>
      </c>
      <c r="K522">
        <v>50.28</v>
      </c>
      <c r="L522">
        <v>1</v>
      </c>
      <c r="M522">
        <v>134</v>
      </c>
      <c r="N522">
        <v>27.84</v>
      </c>
      <c r="O522">
        <v>19859.16</v>
      </c>
      <c r="P522">
        <v>188.14</v>
      </c>
      <c r="Q522">
        <v>988.5</v>
      </c>
      <c r="R522">
        <v>123.55</v>
      </c>
      <c r="S522">
        <v>35.43</v>
      </c>
      <c r="T522">
        <v>42405.31</v>
      </c>
      <c r="U522">
        <v>0.28999999999999998</v>
      </c>
      <c r="V522">
        <v>0.73</v>
      </c>
      <c r="W522">
        <v>3.19</v>
      </c>
      <c r="X522">
        <v>2.76</v>
      </c>
      <c r="Y522">
        <v>1</v>
      </c>
      <c r="Z522">
        <v>10</v>
      </c>
    </row>
    <row r="523" spans="1:26" x14ac:dyDescent="0.3">
      <c r="A523">
        <v>1</v>
      </c>
      <c r="B523">
        <v>80</v>
      </c>
      <c r="C523" t="s">
        <v>26</v>
      </c>
      <c r="D523">
        <v>4.8735999999999997</v>
      </c>
      <c r="E523">
        <v>20.52</v>
      </c>
      <c r="F523">
        <v>14.84</v>
      </c>
      <c r="G523">
        <v>8.56</v>
      </c>
      <c r="H523">
        <v>0.14000000000000001</v>
      </c>
      <c r="I523">
        <v>104</v>
      </c>
      <c r="J523">
        <v>159.47999999999999</v>
      </c>
      <c r="K523">
        <v>50.28</v>
      </c>
      <c r="L523">
        <v>1.25</v>
      </c>
      <c r="M523">
        <v>102</v>
      </c>
      <c r="N523">
        <v>27.95</v>
      </c>
      <c r="O523">
        <v>19902.91</v>
      </c>
      <c r="P523">
        <v>178.58</v>
      </c>
      <c r="Q523">
        <v>988.26</v>
      </c>
      <c r="R523">
        <v>102.99</v>
      </c>
      <c r="S523">
        <v>35.43</v>
      </c>
      <c r="T523">
        <v>32286.93</v>
      </c>
      <c r="U523">
        <v>0.34</v>
      </c>
      <c r="V523">
        <v>0.77</v>
      </c>
      <c r="W523">
        <v>3.13</v>
      </c>
      <c r="X523">
        <v>2.09</v>
      </c>
      <c r="Y523">
        <v>1</v>
      </c>
      <c r="Z523">
        <v>10</v>
      </c>
    </row>
    <row r="524" spans="1:26" x14ac:dyDescent="0.3">
      <c r="A524">
        <v>2</v>
      </c>
      <c r="B524">
        <v>80</v>
      </c>
      <c r="C524" t="s">
        <v>26</v>
      </c>
      <c r="D524">
        <v>5.1353999999999997</v>
      </c>
      <c r="E524">
        <v>19.47</v>
      </c>
      <c r="F524">
        <v>14.44</v>
      </c>
      <c r="G524">
        <v>10.32</v>
      </c>
      <c r="H524">
        <v>0.17</v>
      </c>
      <c r="I524">
        <v>84</v>
      </c>
      <c r="J524">
        <v>159.83000000000001</v>
      </c>
      <c r="K524">
        <v>50.28</v>
      </c>
      <c r="L524">
        <v>1.5</v>
      </c>
      <c r="M524">
        <v>82</v>
      </c>
      <c r="N524">
        <v>28.05</v>
      </c>
      <c r="O524">
        <v>19946.71</v>
      </c>
      <c r="P524">
        <v>172.47</v>
      </c>
      <c r="Q524">
        <v>988.5</v>
      </c>
      <c r="R524">
        <v>90.4</v>
      </c>
      <c r="S524">
        <v>35.43</v>
      </c>
      <c r="T524">
        <v>26090.95</v>
      </c>
      <c r="U524">
        <v>0.39</v>
      </c>
      <c r="V524">
        <v>0.79</v>
      </c>
      <c r="W524">
        <v>3.1</v>
      </c>
      <c r="X524">
        <v>1.68</v>
      </c>
      <c r="Y524">
        <v>1</v>
      </c>
      <c r="Z524">
        <v>10</v>
      </c>
    </row>
    <row r="525" spans="1:26" x14ac:dyDescent="0.3">
      <c r="A525">
        <v>3</v>
      </c>
      <c r="B525">
        <v>80</v>
      </c>
      <c r="C525" t="s">
        <v>26</v>
      </c>
      <c r="D525">
        <v>5.3342000000000001</v>
      </c>
      <c r="E525">
        <v>18.75</v>
      </c>
      <c r="F525">
        <v>14.17</v>
      </c>
      <c r="G525">
        <v>12.14</v>
      </c>
      <c r="H525">
        <v>0.19</v>
      </c>
      <c r="I525">
        <v>70</v>
      </c>
      <c r="J525">
        <v>160.19</v>
      </c>
      <c r="K525">
        <v>50.28</v>
      </c>
      <c r="L525">
        <v>1.75</v>
      </c>
      <c r="M525">
        <v>68</v>
      </c>
      <c r="N525">
        <v>28.16</v>
      </c>
      <c r="O525">
        <v>19990.53</v>
      </c>
      <c r="P525">
        <v>168</v>
      </c>
      <c r="Q525">
        <v>988.31</v>
      </c>
      <c r="R525">
        <v>81.430000000000007</v>
      </c>
      <c r="S525">
        <v>35.43</v>
      </c>
      <c r="T525">
        <v>21675.21</v>
      </c>
      <c r="U525">
        <v>0.44</v>
      </c>
      <c r="V525">
        <v>0.8</v>
      </c>
      <c r="W525">
        <v>3.09</v>
      </c>
      <c r="X525">
        <v>1.41</v>
      </c>
      <c r="Y525">
        <v>1</v>
      </c>
      <c r="Z525">
        <v>10</v>
      </c>
    </row>
    <row r="526" spans="1:26" x14ac:dyDescent="0.3">
      <c r="A526">
        <v>4</v>
      </c>
      <c r="B526">
        <v>80</v>
      </c>
      <c r="C526" t="s">
        <v>26</v>
      </c>
      <c r="D526">
        <v>5.4931999999999999</v>
      </c>
      <c r="E526">
        <v>18.2</v>
      </c>
      <c r="F526">
        <v>13.95</v>
      </c>
      <c r="G526">
        <v>13.95</v>
      </c>
      <c r="H526">
        <v>0.22</v>
      </c>
      <c r="I526">
        <v>60</v>
      </c>
      <c r="J526">
        <v>160.54</v>
      </c>
      <c r="K526">
        <v>50.28</v>
      </c>
      <c r="L526">
        <v>2</v>
      </c>
      <c r="M526">
        <v>58</v>
      </c>
      <c r="N526">
        <v>28.26</v>
      </c>
      <c r="O526">
        <v>20034.400000000001</v>
      </c>
      <c r="P526">
        <v>164.16</v>
      </c>
      <c r="Q526">
        <v>988.41</v>
      </c>
      <c r="R526">
        <v>74.88</v>
      </c>
      <c r="S526">
        <v>35.43</v>
      </c>
      <c r="T526">
        <v>18450.64</v>
      </c>
      <c r="U526">
        <v>0.47</v>
      </c>
      <c r="V526">
        <v>0.82</v>
      </c>
      <c r="W526">
        <v>3.06</v>
      </c>
      <c r="X526">
        <v>1.19</v>
      </c>
      <c r="Y526">
        <v>1</v>
      </c>
      <c r="Z526">
        <v>10</v>
      </c>
    </row>
    <row r="527" spans="1:26" x14ac:dyDescent="0.3">
      <c r="A527">
        <v>5</v>
      </c>
      <c r="B527">
        <v>80</v>
      </c>
      <c r="C527" t="s">
        <v>26</v>
      </c>
      <c r="D527">
        <v>5.6098999999999997</v>
      </c>
      <c r="E527">
        <v>17.829999999999998</v>
      </c>
      <c r="F527">
        <v>13.79</v>
      </c>
      <c r="G527">
        <v>15.62</v>
      </c>
      <c r="H527">
        <v>0.25</v>
      </c>
      <c r="I527">
        <v>53</v>
      </c>
      <c r="J527">
        <v>160.9</v>
      </c>
      <c r="K527">
        <v>50.28</v>
      </c>
      <c r="L527">
        <v>2.25</v>
      </c>
      <c r="M527">
        <v>51</v>
      </c>
      <c r="N527">
        <v>28.37</v>
      </c>
      <c r="O527">
        <v>20078.3</v>
      </c>
      <c r="P527">
        <v>161.13</v>
      </c>
      <c r="Q527">
        <v>988.24</v>
      </c>
      <c r="R527">
        <v>70.319999999999993</v>
      </c>
      <c r="S527">
        <v>35.43</v>
      </c>
      <c r="T527">
        <v>16207.68</v>
      </c>
      <c r="U527">
        <v>0.5</v>
      </c>
      <c r="V527">
        <v>0.83</v>
      </c>
      <c r="W527">
        <v>3.04</v>
      </c>
      <c r="X527">
        <v>1.04</v>
      </c>
      <c r="Y527">
        <v>1</v>
      </c>
      <c r="Z527">
        <v>10</v>
      </c>
    </row>
    <row r="528" spans="1:26" x14ac:dyDescent="0.3">
      <c r="A528">
        <v>6</v>
      </c>
      <c r="B528">
        <v>80</v>
      </c>
      <c r="C528" t="s">
        <v>26</v>
      </c>
      <c r="D528">
        <v>5.7050999999999998</v>
      </c>
      <c r="E528">
        <v>17.53</v>
      </c>
      <c r="F528">
        <v>13.69</v>
      </c>
      <c r="G528">
        <v>17.48</v>
      </c>
      <c r="H528">
        <v>0.27</v>
      </c>
      <c r="I528">
        <v>47</v>
      </c>
      <c r="J528">
        <v>161.26</v>
      </c>
      <c r="K528">
        <v>50.28</v>
      </c>
      <c r="L528">
        <v>2.5</v>
      </c>
      <c r="M528">
        <v>45</v>
      </c>
      <c r="N528">
        <v>28.48</v>
      </c>
      <c r="O528">
        <v>20122.23</v>
      </c>
      <c r="P528">
        <v>158.6</v>
      </c>
      <c r="Q528">
        <v>988.31</v>
      </c>
      <c r="R528">
        <v>66.41</v>
      </c>
      <c r="S528">
        <v>35.43</v>
      </c>
      <c r="T528">
        <v>14281.93</v>
      </c>
      <c r="U528">
        <v>0.53</v>
      </c>
      <c r="V528">
        <v>0.83</v>
      </c>
      <c r="W528">
        <v>3.05</v>
      </c>
      <c r="X528">
        <v>0.93</v>
      </c>
      <c r="Y528">
        <v>1</v>
      </c>
      <c r="Z528">
        <v>10</v>
      </c>
    </row>
    <row r="529" spans="1:26" x14ac:dyDescent="0.3">
      <c r="A529">
        <v>7</v>
      </c>
      <c r="B529">
        <v>80</v>
      </c>
      <c r="C529" t="s">
        <v>26</v>
      </c>
      <c r="D529">
        <v>5.7939999999999996</v>
      </c>
      <c r="E529">
        <v>17.260000000000002</v>
      </c>
      <c r="F529">
        <v>13.58</v>
      </c>
      <c r="G529">
        <v>19.399999999999999</v>
      </c>
      <c r="H529">
        <v>0.3</v>
      </c>
      <c r="I529">
        <v>42</v>
      </c>
      <c r="J529">
        <v>161.61000000000001</v>
      </c>
      <c r="K529">
        <v>50.28</v>
      </c>
      <c r="L529">
        <v>2.75</v>
      </c>
      <c r="M529">
        <v>40</v>
      </c>
      <c r="N529">
        <v>28.58</v>
      </c>
      <c r="O529">
        <v>20166.2</v>
      </c>
      <c r="P529">
        <v>156.12</v>
      </c>
      <c r="Q529">
        <v>988.26</v>
      </c>
      <c r="R529">
        <v>63.26</v>
      </c>
      <c r="S529">
        <v>35.43</v>
      </c>
      <c r="T529">
        <v>12731.96</v>
      </c>
      <c r="U529">
        <v>0.56000000000000005</v>
      </c>
      <c r="V529">
        <v>0.84</v>
      </c>
      <c r="W529">
        <v>3.04</v>
      </c>
      <c r="X529">
        <v>0.83</v>
      </c>
      <c r="Y529">
        <v>1</v>
      </c>
      <c r="Z529">
        <v>10</v>
      </c>
    </row>
    <row r="530" spans="1:26" x14ac:dyDescent="0.3">
      <c r="A530">
        <v>8</v>
      </c>
      <c r="B530">
        <v>80</v>
      </c>
      <c r="C530" t="s">
        <v>26</v>
      </c>
      <c r="D530">
        <v>5.8688000000000002</v>
      </c>
      <c r="E530">
        <v>17.04</v>
      </c>
      <c r="F530">
        <v>13.49</v>
      </c>
      <c r="G530">
        <v>21.3</v>
      </c>
      <c r="H530">
        <v>0.33</v>
      </c>
      <c r="I530">
        <v>38</v>
      </c>
      <c r="J530">
        <v>161.97</v>
      </c>
      <c r="K530">
        <v>50.28</v>
      </c>
      <c r="L530">
        <v>3</v>
      </c>
      <c r="M530">
        <v>36</v>
      </c>
      <c r="N530">
        <v>28.69</v>
      </c>
      <c r="O530">
        <v>20210.21</v>
      </c>
      <c r="P530">
        <v>153.78</v>
      </c>
      <c r="Q530">
        <v>988.3</v>
      </c>
      <c r="R530">
        <v>60.58</v>
      </c>
      <c r="S530">
        <v>35.43</v>
      </c>
      <c r="T530">
        <v>11412.2</v>
      </c>
      <c r="U530">
        <v>0.57999999999999996</v>
      </c>
      <c r="V530">
        <v>0.84</v>
      </c>
      <c r="W530">
        <v>3.03</v>
      </c>
      <c r="X530">
        <v>0.74</v>
      </c>
      <c r="Y530">
        <v>1</v>
      </c>
      <c r="Z530">
        <v>10</v>
      </c>
    </row>
    <row r="531" spans="1:26" x14ac:dyDescent="0.3">
      <c r="A531">
        <v>9</v>
      </c>
      <c r="B531">
        <v>80</v>
      </c>
      <c r="C531" t="s">
        <v>26</v>
      </c>
      <c r="D531">
        <v>5.9229000000000003</v>
      </c>
      <c r="E531">
        <v>16.88</v>
      </c>
      <c r="F531">
        <v>13.43</v>
      </c>
      <c r="G531">
        <v>23.03</v>
      </c>
      <c r="H531">
        <v>0.35</v>
      </c>
      <c r="I531">
        <v>35</v>
      </c>
      <c r="J531">
        <v>162.33000000000001</v>
      </c>
      <c r="K531">
        <v>50.28</v>
      </c>
      <c r="L531">
        <v>3.25</v>
      </c>
      <c r="M531">
        <v>33</v>
      </c>
      <c r="N531">
        <v>28.8</v>
      </c>
      <c r="O531">
        <v>20254.259999999998</v>
      </c>
      <c r="P531">
        <v>151.72</v>
      </c>
      <c r="Q531">
        <v>988.21</v>
      </c>
      <c r="R531">
        <v>58.76</v>
      </c>
      <c r="S531">
        <v>35.43</v>
      </c>
      <c r="T531">
        <v>10517.33</v>
      </c>
      <c r="U531">
        <v>0.6</v>
      </c>
      <c r="V531">
        <v>0.85</v>
      </c>
      <c r="W531">
        <v>3.02</v>
      </c>
      <c r="X531">
        <v>0.68</v>
      </c>
      <c r="Y531">
        <v>1</v>
      </c>
      <c r="Z531">
        <v>10</v>
      </c>
    </row>
    <row r="532" spans="1:26" x14ac:dyDescent="0.3">
      <c r="A532">
        <v>10</v>
      </c>
      <c r="B532">
        <v>80</v>
      </c>
      <c r="C532" t="s">
        <v>26</v>
      </c>
      <c r="D532">
        <v>5.9725000000000001</v>
      </c>
      <c r="E532">
        <v>16.739999999999998</v>
      </c>
      <c r="F532">
        <v>13.39</v>
      </c>
      <c r="G532">
        <v>25.1</v>
      </c>
      <c r="H532">
        <v>0.38</v>
      </c>
      <c r="I532">
        <v>32</v>
      </c>
      <c r="J532">
        <v>162.68</v>
      </c>
      <c r="K532">
        <v>50.28</v>
      </c>
      <c r="L532">
        <v>3.5</v>
      </c>
      <c r="M532">
        <v>30</v>
      </c>
      <c r="N532">
        <v>28.9</v>
      </c>
      <c r="O532">
        <v>20298.34</v>
      </c>
      <c r="P532">
        <v>149.72</v>
      </c>
      <c r="Q532">
        <v>988.11</v>
      </c>
      <c r="R532">
        <v>57.41</v>
      </c>
      <c r="S532">
        <v>35.43</v>
      </c>
      <c r="T532">
        <v>9857.34</v>
      </c>
      <c r="U532">
        <v>0.62</v>
      </c>
      <c r="V532">
        <v>0.85</v>
      </c>
      <c r="W532">
        <v>3.02</v>
      </c>
      <c r="X532">
        <v>0.63</v>
      </c>
      <c r="Y532">
        <v>1</v>
      </c>
      <c r="Z532">
        <v>10</v>
      </c>
    </row>
    <row r="533" spans="1:26" x14ac:dyDescent="0.3">
      <c r="A533">
        <v>11</v>
      </c>
      <c r="B533">
        <v>80</v>
      </c>
      <c r="C533" t="s">
        <v>26</v>
      </c>
      <c r="D533">
        <v>6.0178000000000003</v>
      </c>
      <c r="E533">
        <v>16.62</v>
      </c>
      <c r="F533">
        <v>13.33</v>
      </c>
      <c r="G533">
        <v>26.65</v>
      </c>
      <c r="H533">
        <v>0.41</v>
      </c>
      <c r="I533">
        <v>30</v>
      </c>
      <c r="J533">
        <v>163.04</v>
      </c>
      <c r="K533">
        <v>50.28</v>
      </c>
      <c r="L533">
        <v>3.75</v>
      </c>
      <c r="M533">
        <v>28</v>
      </c>
      <c r="N533">
        <v>29.01</v>
      </c>
      <c r="O533">
        <v>20342.46</v>
      </c>
      <c r="P533">
        <v>147.84</v>
      </c>
      <c r="Q533">
        <v>988.22</v>
      </c>
      <c r="R533">
        <v>55.51</v>
      </c>
      <c r="S533">
        <v>35.43</v>
      </c>
      <c r="T533">
        <v>8914.98</v>
      </c>
      <c r="U533">
        <v>0.64</v>
      </c>
      <c r="V533">
        <v>0.86</v>
      </c>
      <c r="W533">
        <v>3.01</v>
      </c>
      <c r="X533">
        <v>0.56999999999999995</v>
      </c>
      <c r="Y533">
        <v>1</v>
      </c>
      <c r="Z533">
        <v>10</v>
      </c>
    </row>
    <row r="534" spans="1:26" x14ac:dyDescent="0.3">
      <c r="A534">
        <v>12</v>
      </c>
      <c r="B534">
        <v>80</v>
      </c>
      <c r="C534" t="s">
        <v>26</v>
      </c>
      <c r="D534">
        <v>6.0465</v>
      </c>
      <c r="E534">
        <v>16.54</v>
      </c>
      <c r="F534">
        <v>13.31</v>
      </c>
      <c r="G534">
        <v>28.53</v>
      </c>
      <c r="H534">
        <v>0.43</v>
      </c>
      <c r="I534">
        <v>28</v>
      </c>
      <c r="J534">
        <v>163.4</v>
      </c>
      <c r="K534">
        <v>50.28</v>
      </c>
      <c r="L534">
        <v>4</v>
      </c>
      <c r="M534">
        <v>26</v>
      </c>
      <c r="N534">
        <v>29.12</v>
      </c>
      <c r="O534">
        <v>20386.62</v>
      </c>
      <c r="P534">
        <v>146.38999999999999</v>
      </c>
      <c r="Q534">
        <v>988.32</v>
      </c>
      <c r="R534">
        <v>55.2</v>
      </c>
      <c r="S534">
        <v>35.43</v>
      </c>
      <c r="T534">
        <v>8769.5499999999993</v>
      </c>
      <c r="U534">
        <v>0.64</v>
      </c>
      <c r="V534">
        <v>0.86</v>
      </c>
      <c r="W534">
        <v>3.01</v>
      </c>
      <c r="X534">
        <v>0.56000000000000005</v>
      </c>
      <c r="Y534">
        <v>1</v>
      </c>
      <c r="Z534">
        <v>10</v>
      </c>
    </row>
    <row r="535" spans="1:26" x14ac:dyDescent="0.3">
      <c r="A535">
        <v>13</v>
      </c>
      <c r="B535">
        <v>80</v>
      </c>
      <c r="C535" t="s">
        <v>26</v>
      </c>
      <c r="D535">
        <v>6.0902000000000003</v>
      </c>
      <c r="E535">
        <v>16.420000000000002</v>
      </c>
      <c r="F535">
        <v>13.26</v>
      </c>
      <c r="G535">
        <v>30.59</v>
      </c>
      <c r="H535">
        <v>0.46</v>
      </c>
      <c r="I535">
        <v>26</v>
      </c>
      <c r="J535">
        <v>163.76</v>
      </c>
      <c r="K535">
        <v>50.28</v>
      </c>
      <c r="L535">
        <v>4.25</v>
      </c>
      <c r="M535">
        <v>24</v>
      </c>
      <c r="N535">
        <v>29.23</v>
      </c>
      <c r="O535">
        <v>20430.810000000001</v>
      </c>
      <c r="P535">
        <v>144.49</v>
      </c>
      <c r="Q535">
        <v>988.13</v>
      </c>
      <c r="R535">
        <v>53.28</v>
      </c>
      <c r="S535">
        <v>35.43</v>
      </c>
      <c r="T535">
        <v>7822.76</v>
      </c>
      <c r="U535">
        <v>0.67</v>
      </c>
      <c r="V535">
        <v>0.86</v>
      </c>
      <c r="W535">
        <v>3.01</v>
      </c>
      <c r="X535">
        <v>0.5</v>
      </c>
      <c r="Y535">
        <v>1</v>
      </c>
      <c r="Z535">
        <v>10</v>
      </c>
    </row>
    <row r="536" spans="1:26" x14ac:dyDescent="0.3">
      <c r="A536">
        <v>14</v>
      </c>
      <c r="B536">
        <v>80</v>
      </c>
      <c r="C536" t="s">
        <v>26</v>
      </c>
      <c r="D536">
        <v>6.1317000000000004</v>
      </c>
      <c r="E536">
        <v>16.309999999999999</v>
      </c>
      <c r="F536">
        <v>13.21</v>
      </c>
      <c r="G536">
        <v>33.03</v>
      </c>
      <c r="H536">
        <v>0.49</v>
      </c>
      <c r="I536">
        <v>24</v>
      </c>
      <c r="J536">
        <v>164.12</v>
      </c>
      <c r="K536">
        <v>50.28</v>
      </c>
      <c r="L536">
        <v>4.5</v>
      </c>
      <c r="M536">
        <v>22</v>
      </c>
      <c r="N536">
        <v>29.34</v>
      </c>
      <c r="O536">
        <v>20475.04</v>
      </c>
      <c r="P536">
        <v>142.43</v>
      </c>
      <c r="Q536">
        <v>988.15</v>
      </c>
      <c r="R536">
        <v>51.83</v>
      </c>
      <c r="S536">
        <v>35.43</v>
      </c>
      <c r="T536">
        <v>7104.52</v>
      </c>
      <c r="U536">
        <v>0.68</v>
      </c>
      <c r="V536">
        <v>0.86</v>
      </c>
      <c r="W536">
        <v>3.01</v>
      </c>
      <c r="X536">
        <v>0.46</v>
      </c>
      <c r="Y536">
        <v>1</v>
      </c>
      <c r="Z536">
        <v>10</v>
      </c>
    </row>
    <row r="537" spans="1:26" x14ac:dyDescent="0.3">
      <c r="A537">
        <v>15</v>
      </c>
      <c r="B537">
        <v>80</v>
      </c>
      <c r="C537" t="s">
        <v>26</v>
      </c>
      <c r="D537">
        <v>6.1455000000000002</v>
      </c>
      <c r="E537">
        <v>16.27</v>
      </c>
      <c r="F537">
        <v>13.21</v>
      </c>
      <c r="G537">
        <v>34.450000000000003</v>
      </c>
      <c r="H537">
        <v>0.51</v>
      </c>
      <c r="I537">
        <v>23</v>
      </c>
      <c r="J537">
        <v>164.48</v>
      </c>
      <c r="K537">
        <v>50.28</v>
      </c>
      <c r="L537">
        <v>4.75</v>
      </c>
      <c r="M537">
        <v>21</v>
      </c>
      <c r="N537">
        <v>29.45</v>
      </c>
      <c r="O537">
        <v>20519.3</v>
      </c>
      <c r="P537">
        <v>141.03</v>
      </c>
      <c r="Q537">
        <v>988.2</v>
      </c>
      <c r="R537">
        <v>51.61</v>
      </c>
      <c r="S537">
        <v>35.43</v>
      </c>
      <c r="T537">
        <v>7001.29</v>
      </c>
      <c r="U537">
        <v>0.69</v>
      </c>
      <c r="V537">
        <v>0.86</v>
      </c>
      <c r="W537">
        <v>3.01</v>
      </c>
      <c r="X537">
        <v>0.45</v>
      </c>
      <c r="Y537">
        <v>1</v>
      </c>
      <c r="Z537">
        <v>10</v>
      </c>
    </row>
    <row r="538" spans="1:26" x14ac:dyDescent="0.3">
      <c r="A538">
        <v>16</v>
      </c>
      <c r="B538">
        <v>80</v>
      </c>
      <c r="C538" t="s">
        <v>26</v>
      </c>
      <c r="D538">
        <v>6.1891999999999996</v>
      </c>
      <c r="E538">
        <v>16.16</v>
      </c>
      <c r="F538">
        <v>13.16</v>
      </c>
      <c r="G538">
        <v>37.590000000000003</v>
      </c>
      <c r="H538">
        <v>0.54</v>
      </c>
      <c r="I538">
        <v>21</v>
      </c>
      <c r="J538">
        <v>164.83</v>
      </c>
      <c r="K538">
        <v>50.28</v>
      </c>
      <c r="L538">
        <v>5</v>
      </c>
      <c r="M538">
        <v>19</v>
      </c>
      <c r="N538">
        <v>29.55</v>
      </c>
      <c r="O538">
        <v>20563.61</v>
      </c>
      <c r="P538">
        <v>138.96</v>
      </c>
      <c r="Q538">
        <v>988.15</v>
      </c>
      <c r="R538">
        <v>50.44</v>
      </c>
      <c r="S538">
        <v>35.43</v>
      </c>
      <c r="T538">
        <v>6424.61</v>
      </c>
      <c r="U538">
        <v>0.7</v>
      </c>
      <c r="V538">
        <v>0.87</v>
      </c>
      <c r="W538">
        <v>2.99</v>
      </c>
      <c r="X538">
        <v>0.4</v>
      </c>
      <c r="Y538">
        <v>1</v>
      </c>
      <c r="Z538">
        <v>10</v>
      </c>
    </row>
    <row r="539" spans="1:26" x14ac:dyDescent="0.3">
      <c r="A539">
        <v>17</v>
      </c>
      <c r="B539">
        <v>80</v>
      </c>
      <c r="C539" t="s">
        <v>26</v>
      </c>
      <c r="D539">
        <v>6.2140000000000004</v>
      </c>
      <c r="E539">
        <v>16.09</v>
      </c>
      <c r="F539">
        <v>13.12</v>
      </c>
      <c r="G539">
        <v>39.369999999999997</v>
      </c>
      <c r="H539">
        <v>0.56000000000000005</v>
      </c>
      <c r="I539">
        <v>20</v>
      </c>
      <c r="J539">
        <v>165.19</v>
      </c>
      <c r="K539">
        <v>50.28</v>
      </c>
      <c r="L539">
        <v>5.25</v>
      </c>
      <c r="M539">
        <v>18</v>
      </c>
      <c r="N539">
        <v>29.66</v>
      </c>
      <c r="O539">
        <v>20607.95</v>
      </c>
      <c r="P539">
        <v>137.49</v>
      </c>
      <c r="Q539">
        <v>988.21</v>
      </c>
      <c r="R539">
        <v>49.14</v>
      </c>
      <c r="S539">
        <v>35.43</v>
      </c>
      <c r="T539">
        <v>5782.06</v>
      </c>
      <c r="U539">
        <v>0.72</v>
      </c>
      <c r="V539">
        <v>0.87</v>
      </c>
      <c r="W539">
        <v>3</v>
      </c>
      <c r="X539">
        <v>0.37</v>
      </c>
      <c r="Y539">
        <v>1</v>
      </c>
      <c r="Z539">
        <v>10</v>
      </c>
    </row>
    <row r="540" spans="1:26" x14ac:dyDescent="0.3">
      <c r="A540">
        <v>18</v>
      </c>
      <c r="B540">
        <v>80</v>
      </c>
      <c r="C540" t="s">
        <v>26</v>
      </c>
      <c r="D540">
        <v>6.2309000000000001</v>
      </c>
      <c r="E540">
        <v>16.05</v>
      </c>
      <c r="F540">
        <v>13.11</v>
      </c>
      <c r="G540">
        <v>41.41</v>
      </c>
      <c r="H540">
        <v>0.59</v>
      </c>
      <c r="I540">
        <v>19</v>
      </c>
      <c r="J540">
        <v>165.55</v>
      </c>
      <c r="K540">
        <v>50.28</v>
      </c>
      <c r="L540">
        <v>5.5</v>
      </c>
      <c r="M540">
        <v>17</v>
      </c>
      <c r="N540">
        <v>29.77</v>
      </c>
      <c r="O540">
        <v>20652.330000000002</v>
      </c>
      <c r="P540">
        <v>135.61000000000001</v>
      </c>
      <c r="Q540">
        <v>988.12</v>
      </c>
      <c r="R540">
        <v>48.91</v>
      </c>
      <c r="S540">
        <v>35.43</v>
      </c>
      <c r="T540">
        <v>5669.5</v>
      </c>
      <c r="U540">
        <v>0.72</v>
      </c>
      <c r="V540">
        <v>0.87</v>
      </c>
      <c r="W540">
        <v>3</v>
      </c>
      <c r="X540">
        <v>0.36</v>
      </c>
      <c r="Y540">
        <v>1</v>
      </c>
      <c r="Z540">
        <v>10</v>
      </c>
    </row>
    <row r="541" spans="1:26" x14ac:dyDescent="0.3">
      <c r="A541">
        <v>19</v>
      </c>
      <c r="B541">
        <v>80</v>
      </c>
      <c r="C541" t="s">
        <v>26</v>
      </c>
      <c r="D541">
        <v>6.2488000000000001</v>
      </c>
      <c r="E541">
        <v>16</v>
      </c>
      <c r="F541">
        <v>13.1</v>
      </c>
      <c r="G541">
        <v>43.66</v>
      </c>
      <c r="H541">
        <v>0.61</v>
      </c>
      <c r="I541">
        <v>18</v>
      </c>
      <c r="J541">
        <v>165.91</v>
      </c>
      <c r="K541">
        <v>50.28</v>
      </c>
      <c r="L541">
        <v>5.75</v>
      </c>
      <c r="M541">
        <v>16</v>
      </c>
      <c r="N541">
        <v>29.88</v>
      </c>
      <c r="O541">
        <v>20696.740000000002</v>
      </c>
      <c r="P541">
        <v>133.80000000000001</v>
      </c>
      <c r="Q541">
        <v>988.15</v>
      </c>
      <c r="R541">
        <v>48.34</v>
      </c>
      <c r="S541">
        <v>35.43</v>
      </c>
      <c r="T541">
        <v>5389.84</v>
      </c>
      <c r="U541">
        <v>0.73</v>
      </c>
      <c r="V541">
        <v>0.87</v>
      </c>
      <c r="W541">
        <v>3</v>
      </c>
      <c r="X541">
        <v>0.34</v>
      </c>
      <c r="Y541">
        <v>1</v>
      </c>
      <c r="Z541">
        <v>10</v>
      </c>
    </row>
    <row r="542" spans="1:26" x14ac:dyDescent="0.3">
      <c r="A542">
        <v>20</v>
      </c>
      <c r="B542">
        <v>80</v>
      </c>
      <c r="C542" t="s">
        <v>26</v>
      </c>
      <c r="D542">
        <v>6.2708000000000004</v>
      </c>
      <c r="E542">
        <v>15.95</v>
      </c>
      <c r="F542">
        <v>13.07</v>
      </c>
      <c r="G542">
        <v>46.15</v>
      </c>
      <c r="H542">
        <v>0.64</v>
      </c>
      <c r="I542">
        <v>17</v>
      </c>
      <c r="J542">
        <v>166.27</v>
      </c>
      <c r="K542">
        <v>50.28</v>
      </c>
      <c r="L542">
        <v>6</v>
      </c>
      <c r="M542">
        <v>15</v>
      </c>
      <c r="N542">
        <v>29.99</v>
      </c>
      <c r="O542">
        <v>20741.2</v>
      </c>
      <c r="P542">
        <v>131.1</v>
      </c>
      <c r="Q542">
        <v>988.13</v>
      </c>
      <c r="R542">
        <v>47.78</v>
      </c>
      <c r="S542">
        <v>35.43</v>
      </c>
      <c r="T542">
        <v>5115.49</v>
      </c>
      <c r="U542">
        <v>0.74</v>
      </c>
      <c r="V542">
        <v>0.87</v>
      </c>
      <c r="W542">
        <v>2.99</v>
      </c>
      <c r="X542">
        <v>0.32</v>
      </c>
      <c r="Y542">
        <v>1</v>
      </c>
      <c r="Z542">
        <v>10</v>
      </c>
    </row>
    <row r="543" spans="1:26" x14ac:dyDescent="0.3">
      <c r="A543">
        <v>21</v>
      </c>
      <c r="B543">
        <v>80</v>
      </c>
      <c r="C543" t="s">
        <v>26</v>
      </c>
      <c r="D543">
        <v>6.2927999999999997</v>
      </c>
      <c r="E543">
        <v>15.89</v>
      </c>
      <c r="F543">
        <v>13.05</v>
      </c>
      <c r="G543">
        <v>48.94</v>
      </c>
      <c r="H543">
        <v>0.66</v>
      </c>
      <c r="I543">
        <v>16</v>
      </c>
      <c r="J543">
        <v>166.64</v>
      </c>
      <c r="K543">
        <v>50.28</v>
      </c>
      <c r="L543">
        <v>6.25</v>
      </c>
      <c r="M543">
        <v>14</v>
      </c>
      <c r="N543">
        <v>30.11</v>
      </c>
      <c r="O543">
        <v>20785.689999999999</v>
      </c>
      <c r="P543">
        <v>129.72999999999999</v>
      </c>
      <c r="Q543">
        <v>988.24</v>
      </c>
      <c r="R543">
        <v>46.92</v>
      </c>
      <c r="S543">
        <v>35.43</v>
      </c>
      <c r="T543">
        <v>4690.05</v>
      </c>
      <c r="U543">
        <v>0.76</v>
      </c>
      <c r="V543">
        <v>0.87</v>
      </c>
      <c r="W543">
        <v>2.99</v>
      </c>
      <c r="X543">
        <v>0.3</v>
      </c>
      <c r="Y543">
        <v>1</v>
      </c>
      <c r="Z543">
        <v>10</v>
      </c>
    </row>
    <row r="544" spans="1:26" x14ac:dyDescent="0.3">
      <c r="A544">
        <v>22</v>
      </c>
      <c r="B544">
        <v>80</v>
      </c>
      <c r="C544" t="s">
        <v>26</v>
      </c>
      <c r="D544">
        <v>6.2926000000000002</v>
      </c>
      <c r="E544">
        <v>15.89</v>
      </c>
      <c r="F544">
        <v>13.05</v>
      </c>
      <c r="G544">
        <v>48.94</v>
      </c>
      <c r="H544">
        <v>0.69</v>
      </c>
      <c r="I544">
        <v>16</v>
      </c>
      <c r="J544">
        <v>167</v>
      </c>
      <c r="K544">
        <v>50.28</v>
      </c>
      <c r="L544">
        <v>6.5</v>
      </c>
      <c r="M544">
        <v>14</v>
      </c>
      <c r="N544">
        <v>30.22</v>
      </c>
      <c r="O544">
        <v>20830.22</v>
      </c>
      <c r="P544">
        <v>127.81</v>
      </c>
      <c r="Q544">
        <v>988.14</v>
      </c>
      <c r="R544">
        <v>47.12</v>
      </c>
      <c r="S544">
        <v>35.43</v>
      </c>
      <c r="T544">
        <v>4792.5600000000004</v>
      </c>
      <c r="U544">
        <v>0.75</v>
      </c>
      <c r="V544">
        <v>0.87</v>
      </c>
      <c r="W544">
        <v>2.99</v>
      </c>
      <c r="X544">
        <v>0.3</v>
      </c>
      <c r="Y544">
        <v>1</v>
      </c>
      <c r="Z544">
        <v>10</v>
      </c>
    </row>
    <row r="545" spans="1:26" x14ac:dyDescent="0.3">
      <c r="A545">
        <v>23</v>
      </c>
      <c r="B545">
        <v>80</v>
      </c>
      <c r="C545" t="s">
        <v>26</v>
      </c>
      <c r="D545">
        <v>6.3133999999999997</v>
      </c>
      <c r="E545">
        <v>15.84</v>
      </c>
      <c r="F545">
        <v>13.03</v>
      </c>
      <c r="G545">
        <v>52.13</v>
      </c>
      <c r="H545">
        <v>0.71</v>
      </c>
      <c r="I545">
        <v>15</v>
      </c>
      <c r="J545">
        <v>167.36</v>
      </c>
      <c r="K545">
        <v>50.28</v>
      </c>
      <c r="L545">
        <v>6.75</v>
      </c>
      <c r="M545">
        <v>11</v>
      </c>
      <c r="N545">
        <v>30.33</v>
      </c>
      <c r="O545">
        <v>20874.78</v>
      </c>
      <c r="P545">
        <v>126.62</v>
      </c>
      <c r="Q545">
        <v>988.08</v>
      </c>
      <c r="R545">
        <v>46.39</v>
      </c>
      <c r="S545">
        <v>35.43</v>
      </c>
      <c r="T545">
        <v>4430.1099999999997</v>
      </c>
      <c r="U545">
        <v>0.76</v>
      </c>
      <c r="V545">
        <v>0.87</v>
      </c>
      <c r="W545">
        <v>2.99</v>
      </c>
      <c r="X545">
        <v>0.28000000000000003</v>
      </c>
      <c r="Y545">
        <v>1</v>
      </c>
      <c r="Z545">
        <v>10</v>
      </c>
    </row>
    <row r="546" spans="1:26" x14ac:dyDescent="0.3">
      <c r="A546">
        <v>24</v>
      </c>
      <c r="B546">
        <v>80</v>
      </c>
      <c r="C546" t="s">
        <v>26</v>
      </c>
      <c r="D546">
        <v>6.3257000000000003</v>
      </c>
      <c r="E546">
        <v>15.81</v>
      </c>
      <c r="F546">
        <v>13.03</v>
      </c>
      <c r="G546">
        <v>55.86</v>
      </c>
      <c r="H546">
        <v>0.74</v>
      </c>
      <c r="I546">
        <v>14</v>
      </c>
      <c r="J546">
        <v>167.72</v>
      </c>
      <c r="K546">
        <v>50.28</v>
      </c>
      <c r="L546">
        <v>7</v>
      </c>
      <c r="M546">
        <v>7</v>
      </c>
      <c r="N546">
        <v>30.44</v>
      </c>
      <c r="O546">
        <v>20919.39</v>
      </c>
      <c r="P546">
        <v>125</v>
      </c>
      <c r="Q546">
        <v>988.11</v>
      </c>
      <c r="R546">
        <v>46.1</v>
      </c>
      <c r="S546">
        <v>35.43</v>
      </c>
      <c r="T546">
        <v>4289.46</v>
      </c>
      <c r="U546">
        <v>0.77</v>
      </c>
      <c r="V546">
        <v>0.87</v>
      </c>
      <c r="W546">
        <v>3</v>
      </c>
      <c r="X546">
        <v>0.28000000000000003</v>
      </c>
      <c r="Y546">
        <v>1</v>
      </c>
      <c r="Z546">
        <v>10</v>
      </c>
    </row>
    <row r="547" spans="1:26" x14ac:dyDescent="0.3">
      <c r="A547">
        <v>25</v>
      </c>
      <c r="B547">
        <v>80</v>
      </c>
      <c r="C547" t="s">
        <v>26</v>
      </c>
      <c r="D547">
        <v>6.3277000000000001</v>
      </c>
      <c r="E547">
        <v>15.8</v>
      </c>
      <c r="F547">
        <v>13.03</v>
      </c>
      <c r="G547">
        <v>55.83</v>
      </c>
      <c r="H547">
        <v>0.76</v>
      </c>
      <c r="I547">
        <v>14</v>
      </c>
      <c r="J547">
        <v>168.08</v>
      </c>
      <c r="K547">
        <v>50.28</v>
      </c>
      <c r="L547">
        <v>7.25</v>
      </c>
      <c r="M547">
        <v>4</v>
      </c>
      <c r="N547">
        <v>30.55</v>
      </c>
      <c r="O547">
        <v>20964.03</v>
      </c>
      <c r="P547">
        <v>124.85</v>
      </c>
      <c r="Q547">
        <v>988.18</v>
      </c>
      <c r="R547">
        <v>46.06</v>
      </c>
      <c r="S547">
        <v>35.43</v>
      </c>
      <c r="T547">
        <v>4273.01</v>
      </c>
      <c r="U547">
        <v>0.77</v>
      </c>
      <c r="V547">
        <v>0.87</v>
      </c>
      <c r="W547">
        <v>3</v>
      </c>
      <c r="X547">
        <v>0.27</v>
      </c>
      <c r="Y547">
        <v>1</v>
      </c>
      <c r="Z547">
        <v>10</v>
      </c>
    </row>
    <row r="548" spans="1:26" x14ac:dyDescent="0.3">
      <c r="A548">
        <v>26</v>
      </c>
      <c r="B548">
        <v>80</v>
      </c>
      <c r="C548" t="s">
        <v>26</v>
      </c>
      <c r="D548">
        <v>6.3281999999999998</v>
      </c>
      <c r="E548">
        <v>15.8</v>
      </c>
      <c r="F548">
        <v>13.03</v>
      </c>
      <c r="G548">
        <v>55.83</v>
      </c>
      <c r="H548">
        <v>0.79</v>
      </c>
      <c r="I548">
        <v>14</v>
      </c>
      <c r="J548">
        <v>168.44</v>
      </c>
      <c r="K548">
        <v>50.28</v>
      </c>
      <c r="L548">
        <v>7.5</v>
      </c>
      <c r="M548">
        <v>1</v>
      </c>
      <c r="N548">
        <v>30.66</v>
      </c>
      <c r="O548">
        <v>21008.71</v>
      </c>
      <c r="P548">
        <v>124.91</v>
      </c>
      <c r="Q548">
        <v>988.12</v>
      </c>
      <c r="R548">
        <v>45.74</v>
      </c>
      <c r="S548">
        <v>35.43</v>
      </c>
      <c r="T548">
        <v>4111.7700000000004</v>
      </c>
      <c r="U548">
        <v>0.77</v>
      </c>
      <c r="V548">
        <v>0.87</v>
      </c>
      <c r="W548">
        <v>3</v>
      </c>
      <c r="X548">
        <v>0.27</v>
      </c>
      <c r="Y548">
        <v>1</v>
      </c>
      <c r="Z548">
        <v>10</v>
      </c>
    </row>
    <row r="549" spans="1:26" x14ac:dyDescent="0.3">
      <c r="A549">
        <v>27</v>
      </c>
      <c r="B549">
        <v>80</v>
      </c>
      <c r="C549" t="s">
        <v>26</v>
      </c>
      <c r="D549">
        <v>6.3284000000000002</v>
      </c>
      <c r="E549">
        <v>15.8</v>
      </c>
      <c r="F549">
        <v>13.03</v>
      </c>
      <c r="G549">
        <v>55.83</v>
      </c>
      <c r="H549">
        <v>0.81</v>
      </c>
      <c r="I549">
        <v>14</v>
      </c>
      <c r="J549">
        <v>168.81</v>
      </c>
      <c r="K549">
        <v>50.28</v>
      </c>
      <c r="L549">
        <v>7.75</v>
      </c>
      <c r="M549">
        <v>1</v>
      </c>
      <c r="N549">
        <v>30.78</v>
      </c>
      <c r="O549">
        <v>21053.43</v>
      </c>
      <c r="P549">
        <v>124.95</v>
      </c>
      <c r="Q549">
        <v>988.12</v>
      </c>
      <c r="R549">
        <v>45.77</v>
      </c>
      <c r="S549">
        <v>35.43</v>
      </c>
      <c r="T549">
        <v>4124.3500000000004</v>
      </c>
      <c r="U549">
        <v>0.77</v>
      </c>
      <c r="V549">
        <v>0.87</v>
      </c>
      <c r="W549">
        <v>3</v>
      </c>
      <c r="X549">
        <v>0.27</v>
      </c>
      <c r="Y549">
        <v>1</v>
      </c>
      <c r="Z549">
        <v>10</v>
      </c>
    </row>
    <row r="550" spans="1:26" x14ac:dyDescent="0.3">
      <c r="A550">
        <v>28</v>
      </c>
      <c r="B550">
        <v>80</v>
      </c>
      <c r="C550" t="s">
        <v>26</v>
      </c>
      <c r="D550">
        <v>6.3277000000000001</v>
      </c>
      <c r="E550">
        <v>15.8</v>
      </c>
      <c r="F550">
        <v>13.03</v>
      </c>
      <c r="G550">
        <v>55.83</v>
      </c>
      <c r="H550">
        <v>0.84</v>
      </c>
      <c r="I550">
        <v>14</v>
      </c>
      <c r="J550">
        <v>169.17</v>
      </c>
      <c r="K550">
        <v>50.28</v>
      </c>
      <c r="L550">
        <v>8</v>
      </c>
      <c r="M550">
        <v>0</v>
      </c>
      <c r="N550">
        <v>30.89</v>
      </c>
      <c r="O550">
        <v>21098.19</v>
      </c>
      <c r="P550">
        <v>125.17</v>
      </c>
      <c r="Q550">
        <v>988.12</v>
      </c>
      <c r="R550">
        <v>45.79</v>
      </c>
      <c r="S550">
        <v>35.43</v>
      </c>
      <c r="T550">
        <v>4135.74</v>
      </c>
      <c r="U550">
        <v>0.77</v>
      </c>
      <c r="V550">
        <v>0.87</v>
      </c>
      <c r="W550">
        <v>3</v>
      </c>
      <c r="X550">
        <v>0.27</v>
      </c>
      <c r="Y550">
        <v>1</v>
      </c>
      <c r="Z550">
        <v>10</v>
      </c>
    </row>
    <row r="551" spans="1:26" x14ac:dyDescent="0.3">
      <c r="A551">
        <v>0</v>
      </c>
      <c r="B551">
        <v>115</v>
      </c>
      <c r="C551" t="s">
        <v>26</v>
      </c>
      <c r="D551">
        <v>3.7021999999999999</v>
      </c>
      <c r="E551">
        <v>27.01</v>
      </c>
      <c r="F551">
        <v>16.45</v>
      </c>
      <c r="G551">
        <v>5.48</v>
      </c>
      <c r="H551">
        <v>0.08</v>
      </c>
      <c r="I551">
        <v>180</v>
      </c>
      <c r="J551">
        <v>222.93</v>
      </c>
      <c r="K551">
        <v>56.94</v>
      </c>
      <c r="L551">
        <v>1</v>
      </c>
      <c r="M551">
        <v>178</v>
      </c>
      <c r="N551">
        <v>49.99</v>
      </c>
      <c r="O551">
        <v>27728.69</v>
      </c>
      <c r="P551">
        <v>249.33</v>
      </c>
      <c r="Q551">
        <v>988.78</v>
      </c>
      <c r="R551">
        <v>152.69999999999999</v>
      </c>
      <c r="S551">
        <v>35.43</v>
      </c>
      <c r="T551">
        <v>56761.5</v>
      </c>
      <c r="U551">
        <v>0.23</v>
      </c>
      <c r="V551">
        <v>0.69</v>
      </c>
      <c r="W551">
        <v>3.26</v>
      </c>
      <c r="X551">
        <v>3.69</v>
      </c>
      <c r="Y551">
        <v>1</v>
      </c>
      <c r="Z551">
        <v>10</v>
      </c>
    </row>
    <row r="552" spans="1:26" x14ac:dyDescent="0.3">
      <c r="A552">
        <v>1</v>
      </c>
      <c r="B552">
        <v>115</v>
      </c>
      <c r="C552" t="s">
        <v>26</v>
      </c>
      <c r="D552">
        <v>4.1551999999999998</v>
      </c>
      <c r="E552">
        <v>24.07</v>
      </c>
      <c r="F552">
        <v>15.48</v>
      </c>
      <c r="G552">
        <v>6.88</v>
      </c>
      <c r="H552">
        <v>0.1</v>
      </c>
      <c r="I552">
        <v>135</v>
      </c>
      <c r="J552">
        <v>223.35</v>
      </c>
      <c r="K552">
        <v>56.94</v>
      </c>
      <c r="L552">
        <v>1.25</v>
      </c>
      <c r="M552">
        <v>133</v>
      </c>
      <c r="N552">
        <v>50.15</v>
      </c>
      <c r="O552">
        <v>27780.03</v>
      </c>
      <c r="P552">
        <v>233.82</v>
      </c>
      <c r="Q552">
        <v>988.47</v>
      </c>
      <c r="R552">
        <v>122.37</v>
      </c>
      <c r="S552">
        <v>35.43</v>
      </c>
      <c r="T552">
        <v>41820.85</v>
      </c>
      <c r="U552">
        <v>0.28999999999999998</v>
      </c>
      <c r="V552">
        <v>0.74</v>
      </c>
      <c r="W552">
        <v>3.19</v>
      </c>
      <c r="X552">
        <v>2.72</v>
      </c>
      <c r="Y552">
        <v>1</v>
      </c>
      <c r="Z552">
        <v>10</v>
      </c>
    </row>
    <row r="553" spans="1:26" x14ac:dyDescent="0.3">
      <c r="A553">
        <v>2</v>
      </c>
      <c r="B553">
        <v>115</v>
      </c>
      <c r="C553" t="s">
        <v>26</v>
      </c>
      <c r="D553">
        <v>4.4611000000000001</v>
      </c>
      <c r="E553">
        <v>22.42</v>
      </c>
      <c r="F553">
        <v>14.97</v>
      </c>
      <c r="G553">
        <v>8.24</v>
      </c>
      <c r="H553">
        <v>0.12</v>
      </c>
      <c r="I553">
        <v>109</v>
      </c>
      <c r="J553">
        <v>223.76</v>
      </c>
      <c r="K553">
        <v>56.94</v>
      </c>
      <c r="L553">
        <v>1.5</v>
      </c>
      <c r="M553">
        <v>107</v>
      </c>
      <c r="N553">
        <v>50.32</v>
      </c>
      <c r="O553">
        <v>27831.42</v>
      </c>
      <c r="P553">
        <v>225.31</v>
      </c>
      <c r="Q553">
        <v>988.58</v>
      </c>
      <c r="R553">
        <v>105.95</v>
      </c>
      <c r="S553">
        <v>35.43</v>
      </c>
      <c r="T553">
        <v>33742.35</v>
      </c>
      <c r="U553">
        <v>0.33</v>
      </c>
      <c r="V553">
        <v>0.76</v>
      </c>
      <c r="W553">
        <v>3.16</v>
      </c>
      <c r="X553">
        <v>2.21</v>
      </c>
      <c r="Y553">
        <v>1</v>
      </c>
      <c r="Z553">
        <v>10</v>
      </c>
    </row>
    <row r="554" spans="1:26" x14ac:dyDescent="0.3">
      <c r="A554">
        <v>3</v>
      </c>
      <c r="B554">
        <v>115</v>
      </c>
      <c r="C554" t="s">
        <v>26</v>
      </c>
      <c r="D554">
        <v>4.7118000000000002</v>
      </c>
      <c r="E554">
        <v>21.22</v>
      </c>
      <c r="F554">
        <v>14.57</v>
      </c>
      <c r="G554">
        <v>9.61</v>
      </c>
      <c r="H554">
        <v>0.14000000000000001</v>
      </c>
      <c r="I554">
        <v>91</v>
      </c>
      <c r="J554">
        <v>224.18</v>
      </c>
      <c r="K554">
        <v>56.94</v>
      </c>
      <c r="L554">
        <v>1.75</v>
      </c>
      <c r="M554">
        <v>89</v>
      </c>
      <c r="N554">
        <v>50.49</v>
      </c>
      <c r="O554">
        <v>27882.87</v>
      </c>
      <c r="P554">
        <v>218.46</v>
      </c>
      <c r="Q554">
        <v>988.4</v>
      </c>
      <c r="R554">
        <v>94.17</v>
      </c>
      <c r="S554">
        <v>35.43</v>
      </c>
      <c r="T554">
        <v>27941.8</v>
      </c>
      <c r="U554">
        <v>0.38</v>
      </c>
      <c r="V554">
        <v>0.78</v>
      </c>
      <c r="W554">
        <v>3.11</v>
      </c>
      <c r="X554">
        <v>1.81</v>
      </c>
      <c r="Y554">
        <v>1</v>
      </c>
      <c r="Z554">
        <v>10</v>
      </c>
    </row>
    <row r="555" spans="1:26" x14ac:dyDescent="0.3">
      <c r="A555">
        <v>4</v>
      </c>
      <c r="B555">
        <v>115</v>
      </c>
      <c r="C555" t="s">
        <v>26</v>
      </c>
      <c r="D555">
        <v>4.9028</v>
      </c>
      <c r="E555">
        <v>20.399999999999999</v>
      </c>
      <c r="F555">
        <v>14.31</v>
      </c>
      <c r="G555">
        <v>11.01</v>
      </c>
      <c r="H555">
        <v>0.16</v>
      </c>
      <c r="I555">
        <v>78</v>
      </c>
      <c r="J555">
        <v>224.6</v>
      </c>
      <c r="K555">
        <v>56.94</v>
      </c>
      <c r="L555">
        <v>2</v>
      </c>
      <c r="M555">
        <v>76</v>
      </c>
      <c r="N555">
        <v>50.65</v>
      </c>
      <c r="O555">
        <v>27934.37</v>
      </c>
      <c r="P555">
        <v>213.73</v>
      </c>
      <c r="Q555">
        <v>988.24</v>
      </c>
      <c r="R555">
        <v>86.02</v>
      </c>
      <c r="S555">
        <v>35.43</v>
      </c>
      <c r="T555">
        <v>23933.43</v>
      </c>
      <c r="U555">
        <v>0.41</v>
      </c>
      <c r="V555">
        <v>0.8</v>
      </c>
      <c r="W555">
        <v>3.1</v>
      </c>
      <c r="X555">
        <v>1.56</v>
      </c>
      <c r="Y555">
        <v>1</v>
      </c>
      <c r="Z555">
        <v>10</v>
      </c>
    </row>
    <row r="556" spans="1:26" x14ac:dyDescent="0.3">
      <c r="A556">
        <v>5</v>
      </c>
      <c r="B556">
        <v>115</v>
      </c>
      <c r="C556" t="s">
        <v>26</v>
      </c>
      <c r="D556">
        <v>5.0597000000000003</v>
      </c>
      <c r="E556">
        <v>19.760000000000002</v>
      </c>
      <c r="F556">
        <v>14.12</v>
      </c>
      <c r="G556">
        <v>12.46</v>
      </c>
      <c r="H556">
        <v>0.18</v>
      </c>
      <c r="I556">
        <v>68</v>
      </c>
      <c r="J556">
        <v>225.01</v>
      </c>
      <c r="K556">
        <v>56.94</v>
      </c>
      <c r="L556">
        <v>2.25</v>
      </c>
      <c r="M556">
        <v>66</v>
      </c>
      <c r="N556">
        <v>50.82</v>
      </c>
      <c r="O556">
        <v>27985.94</v>
      </c>
      <c r="P556">
        <v>210.11</v>
      </c>
      <c r="Q556">
        <v>988.27</v>
      </c>
      <c r="R556">
        <v>80.11</v>
      </c>
      <c r="S556">
        <v>35.43</v>
      </c>
      <c r="T556">
        <v>21027.78</v>
      </c>
      <c r="U556">
        <v>0.44</v>
      </c>
      <c r="V556">
        <v>0.81</v>
      </c>
      <c r="W556">
        <v>3.08</v>
      </c>
      <c r="X556">
        <v>1.36</v>
      </c>
      <c r="Y556">
        <v>1</v>
      </c>
      <c r="Z556">
        <v>10</v>
      </c>
    </row>
    <row r="557" spans="1:26" x14ac:dyDescent="0.3">
      <c r="A557">
        <v>6</v>
      </c>
      <c r="B557">
        <v>115</v>
      </c>
      <c r="C557" t="s">
        <v>26</v>
      </c>
      <c r="D557">
        <v>5.1813000000000002</v>
      </c>
      <c r="E557">
        <v>19.3</v>
      </c>
      <c r="F557">
        <v>13.96</v>
      </c>
      <c r="G557">
        <v>13.73</v>
      </c>
      <c r="H557">
        <v>0.2</v>
      </c>
      <c r="I557">
        <v>61</v>
      </c>
      <c r="J557">
        <v>225.43</v>
      </c>
      <c r="K557">
        <v>56.94</v>
      </c>
      <c r="L557">
        <v>2.5</v>
      </c>
      <c r="M557">
        <v>59</v>
      </c>
      <c r="N557">
        <v>50.99</v>
      </c>
      <c r="O557">
        <v>28037.57</v>
      </c>
      <c r="P557">
        <v>206.85</v>
      </c>
      <c r="Q557">
        <v>988.23</v>
      </c>
      <c r="R557">
        <v>75.239999999999995</v>
      </c>
      <c r="S557">
        <v>35.43</v>
      </c>
      <c r="T557">
        <v>18628.02</v>
      </c>
      <c r="U557">
        <v>0.47</v>
      </c>
      <c r="V557">
        <v>0.82</v>
      </c>
      <c r="W557">
        <v>3.07</v>
      </c>
      <c r="X557">
        <v>1.21</v>
      </c>
      <c r="Y557">
        <v>1</v>
      </c>
      <c r="Z557">
        <v>10</v>
      </c>
    </row>
    <row r="558" spans="1:26" x14ac:dyDescent="0.3">
      <c r="A558">
        <v>7</v>
      </c>
      <c r="B558">
        <v>115</v>
      </c>
      <c r="C558" t="s">
        <v>26</v>
      </c>
      <c r="D558">
        <v>5.3090999999999999</v>
      </c>
      <c r="E558">
        <v>18.84</v>
      </c>
      <c r="F558">
        <v>13.8</v>
      </c>
      <c r="G558">
        <v>15.34</v>
      </c>
      <c r="H558">
        <v>0.22</v>
      </c>
      <c r="I558">
        <v>54</v>
      </c>
      <c r="J558">
        <v>225.85</v>
      </c>
      <c r="K558">
        <v>56.94</v>
      </c>
      <c r="L558">
        <v>2.75</v>
      </c>
      <c r="M558">
        <v>52</v>
      </c>
      <c r="N558">
        <v>51.16</v>
      </c>
      <c r="O558">
        <v>28089.25</v>
      </c>
      <c r="P558">
        <v>203.63</v>
      </c>
      <c r="Q558">
        <v>988.27</v>
      </c>
      <c r="R558">
        <v>70.41</v>
      </c>
      <c r="S558">
        <v>35.43</v>
      </c>
      <c r="T558">
        <v>16247.54</v>
      </c>
      <c r="U558">
        <v>0.5</v>
      </c>
      <c r="V558">
        <v>0.83</v>
      </c>
      <c r="W558">
        <v>3.05</v>
      </c>
      <c r="X558">
        <v>1.05</v>
      </c>
      <c r="Y558">
        <v>1</v>
      </c>
      <c r="Z558">
        <v>10</v>
      </c>
    </row>
    <row r="559" spans="1:26" x14ac:dyDescent="0.3">
      <c r="A559">
        <v>8</v>
      </c>
      <c r="B559">
        <v>115</v>
      </c>
      <c r="C559" t="s">
        <v>26</v>
      </c>
      <c r="D559">
        <v>5.4001999999999999</v>
      </c>
      <c r="E559">
        <v>18.52</v>
      </c>
      <c r="F559">
        <v>13.71</v>
      </c>
      <c r="G559">
        <v>16.78</v>
      </c>
      <c r="H559">
        <v>0.24</v>
      </c>
      <c r="I559">
        <v>49</v>
      </c>
      <c r="J559">
        <v>226.27</v>
      </c>
      <c r="K559">
        <v>56.94</v>
      </c>
      <c r="L559">
        <v>3</v>
      </c>
      <c r="M559">
        <v>47</v>
      </c>
      <c r="N559">
        <v>51.33</v>
      </c>
      <c r="O559">
        <v>28140.99</v>
      </c>
      <c r="P559">
        <v>201.3</v>
      </c>
      <c r="Q559">
        <v>988.12</v>
      </c>
      <c r="R559">
        <v>67.37</v>
      </c>
      <c r="S559">
        <v>35.43</v>
      </c>
      <c r="T559">
        <v>14748.83</v>
      </c>
      <c r="U559">
        <v>0.53</v>
      </c>
      <c r="V559">
        <v>0.83</v>
      </c>
      <c r="W559">
        <v>3.04</v>
      </c>
      <c r="X559">
        <v>0.95</v>
      </c>
      <c r="Y559">
        <v>1</v>
      </c>
      <c r="Z559">
        <v>10</v>
      </c>
    </row>
    <row r="560" spans="1:26" x14ac:dyDescent="0.3">
      <c r="A560">
        <v>9</v>
      </c>
      <c r="B560">
        <v>115</v>
      </c>
      <c r="C560" t="s">
        <v>26</v>
      </c>
      <c r="D560">
        <v>5.4669999999999996</v>
      </c>
      <c r="E560">
        <v>18.29</v>
      </c>
      <c r="F560">
        <v>13.66</v>
      </c>
      <c r="G560">
        <v>18.21</v>
      </c>
      <c r="H560">
        <v>0.25</v>
      </c>
      <c r="I560">
        <v>45</v>
      </c>
      <c r="J560">
        <v>226.69</v>
      </c>
      <c r="K560">
        <v>56.94</v>
      </c>
      <c r="L560">
        <v>3.25</v>
      </c>
      <c r="M560">
        <v>43</v>
      </c>
      <c r="N560">
        <v>51.5</v>
      </c>
      <c r="O560">
        <v>28192.799999999999</v>
      </c>
      <c r="P560">
        <v>199.87</v>
      </c>
      <c r="Q560">
        <v>988.22</v>
      </c>
      <c r="R560">
        <v>65.569999999999993</v>
      </c>
      <c r="S560">
        <v>35.43</v>
      </c>
      <c r="T560">
        <v>13873.26</v>
      </c>
      <c r="U560">
        <v>0.54</v>
      </c>
      <c r="V560">
        <v>0.83</v>
      </c>
      <c r="W560">
        <v>3.04</v>
      </c>
      <c r="X560">
        <v>0.9</v>
      </c>
      <c r="Y560">
        <v>1</v>
      </c>
      <c r="Z560">
        <v>10</v>
      </c>
    </row>
    <row r="561" spans="1:26" x14ac:dyDescent="0.3">
      <c r="A561">
        <v>10</v>
      </c>
      <c r="B561">
        <v>115</v>
      </c>
      <c r="C561" t="s">
        <v>26</v>
      </c>
      <c r="D561">
        <v>5.5303000000000004</v>
      </c>
      <c r="E561">
        <v>18.079999999999998</v>
      </c>
      <c r="F561">
        <v>13.58</v>
      </c>
      <c r="G561">
        <v>19.399999999999999</v>
      </c>
      <c r="H561">
        <v>0.27</v>
      </c>
      <c r="I561">
        <v>42</v>
      </c>
      <c r="J561">
        <v>227.11</v>
      </c>
      <c r="K561">
        <v>56.94</v>
      </c>
      <c r="L561">
        <v>3.5</v>
      </c>
      <c r="M561">
        <v>40</v>
      </c>
      <c r="N561">
        <v>51.67</v>
      </c>
      <c r="O561">
        <v>28244.66</v>
      </c>
      <c r="P561">
        <v>197.95</v>
      </c>
      <c r="Q561">
        <v>988.14</v>
      </c>
      <c r="R561">
        <v>63.34</v>
      </c>
      <c r="S561">
        <v>35.43</v>
      </c>
      <c r="T561">
        <v>12769.98</v>
      </c>
      <c r="U561">
        <v>0.56000000000000005</v>
      </c>
      <c r="V561">
        <v>0.84</v>
      </c>
      <c r="W561">
        <v>3.04</v>
      </c>
      <c r="X561">
        <v>0.82</v>
      </c>
      <c r="Y561">
        <v>1</v>
      </c>
      <c r="Z561">
        <v>10</v>
      </c>
    </row>
    <row r="562" spans="1:26" x14ac:dyDescent="0.3">
      <c r="A562">
        <v>11</v>
      </c>
      <c r="B562">
        <v>115</v>
      </c>
      <c r="C562" t="s">
        <v>26</v>
      </c>
      <c r="D562">
        <v>5.5875000000000004</v>
      </c>
      <c r="E562">
        <v>17.899999999999999</v>
      </c>
      <c r="F562">
        <v>13.52</v>
      </c>
      <c r="G562">
        <v>20.81</v>
      </c>
      <c r="H562">
        <v>0.28999999999999998</v>
      </c>
      <c r="I562">
        <v>39</v>
      </c>
      <c r="J562">
        <v>227.53</v>
      </c>
      <c r="K562">
        <v>56.94</v>
      </c>
      <c r="L562">
        <v>3.75</v>
      </c>
      <c r="M562">
        <v>37</v>
      </c>
      <c r="N562">
        <v>51.84</v>
      </c>
      <c r="O562">
        <v>28296.58</v>
      </c>
      <c r="P562">
        <v>196.49</v>
      </c>
      <c r="Q562">
        <v>988.09</v>
      </c>
      <c r="R562">
        <v>61.65</v>
      </c>
      <c r="S562">
        <v>35.43</v>
      </c>
      <c r="T562">
        <v>11939.16</v>
      </c>
      <c r="U562">
        <v>0.56999999999999995</v>
      </c>
      <c r="V562">
        <v>0.84</v>
      </c>
      <c r="W562">
        <v>3.03</v>
      </c>
      <c r="X562">
        <v>0.77</v>
      </c>
      <c r="Y562">
        <v>1</v>
      </c>
      <c r="Z562">
        <v>10</v>
      </c>
    </row>
    <row r="563" spans="1:26" x14ac:dyDescent="0.3">
      <c r="A563">
        <v>12</v>
      </c>
      <c r="B563">
        <v>115</v>
      </c>
      <c r="C563" t="s">
        <v>26</v>
      </c>
      <c r="D563">
        <v>5.6547999999999998</v>
      </c>
      <c r="E563">
        <v>17.68</v>
      </c>
      <c r="F563">
        <v>13.44</v>
      </c>
      <c r="G563">
        <v>22.41</v>
      </c>
      <c r="H563">
        <v>0.31</v>
      </c>
      <c r="I563">
        <v>36</v>
      </c>
      <c r="J563">
        <v>227.95</v>
      </c>
      <c r="K563">
        <v>56.94</v>
      </c>
      <c r="L563">
        <v>4</v>
      </c>
      <c r="M563">
        <v>34</v>
      </c>
      <c r="N563">
        <v>52.01</v>
      </c>
      <c r="O563">
        <v>28348.560000000001</v>
      </c>
      <c r="P563">
        <v>194.26</v>
      </c>
      <c r="Q563">
        <v>988.23</v>
      </c>
      <c r="R563">
        <v>59.14</v>
      </c>
      <c r="S563">
        <v>35.43</v>
      </c>
      <c r="T563">
        <v>10701.29</v>
      </c>
      <c r="U563">
        <v>0.6</v>
      </c>
      <c r="V563">
        <v>0.85</v>
      </c>
      <c r="W563">
        <v>3.02</v>
      </c>
      <c r="X563">
        <v>0.69</v>
      </c>
      <c r="Y563">
        <v>1</v>
      </c>
      <c r="Z563">
        <v>10</v>
      </c>
    </row>
    <row r="564" spans="1:26" x14ac:dyDescent="0.3">
      <c r="A564">
        <v>13</v>
      </c>
      <c r="B564">
        <v>115</v>
      </c>
      <c r="C564" t="s">
        <v>26</v>
      </c>
      <c r="D564">
        <v>5.6924999999999999</v>
      </c>
      <c r="E564">
        <v>17.57</v>
      </c>
      <c r="F564">
        <v>13.41</v>
      </c>
      <c r="G564">
        <v>23.67</v>
      </c>
      <c r="H564">
        <v>0.33</v>
      </c>
      <c r="I564">
        <v>34</v>
      </c>
      <c r="J564">
        <v>228.38</v>
      </c>
      <c r="K564">
        <v>56.94</v>
      </c>
      <c r="L564">
        <v>4.25</v>
      </c>
      <c r="M564">
        <v>32</v>
      </c>
      <c r="N564">
        <v>52.18</v>
      </c>
      <c r="O564">
        <v>28400.61</v>
      </c>
      <c r="P564">
        <v>193.13</v>
      </c>
      <c r="Q564">
        <v>988.11</v>
      </c>
      <c r="R564">
        <v>58.37</v>
      </c>
      <c r="S564">
        <v>35.43</v>
      </c>
      <c r="T564">
        <v>10327.870000000001</v>
      </c>
      <c r="U564">
        <v>0.61</v>
      </c>
      <c r="V564">
        <v>0.85</v>
      </c>
      <c r="W564">
        <v>3.02</v>
      </c>
      <c r="X564">
        <v>0.66</v>
      </c>
      <c r="Y564">
        <v>1</v>
      </c>
      <c r="Z564">
        <v>10</v>
      </c>
    </row>
    <row r="565" spans="1:26" x14ac:dyDescent="0.3">
      <c r="A565">
        <v>14</v>
      </c>
      <c r="B565">
        <v>115</v>
      </c>
      <c r="C565" t="s">
        <v>26</v>
      </c>
      <c r="D565">
        <v>5.7295999999999996</v>
      </c>
      <c r="E565">
        <v>17.45</v>
      </c>
      <c r="F565">
        <v>13.39</v>
      </c>
      <c r="G565">
        <v>25.1</v>
      </c>
      <c r="H565">
        <v>0.35</v>
      </c>
      <c r="I565">
        <v>32</v>
      </c>
      <c r="J565">
        <v>228.8</v>
      </c>
      <c r="K565">
        <v>56.94</v>
      </c>
      <c r="L565">
        <v>4.5</v>
      </c>
      <c r="M565">
        <v>30</v>
      </c>
      <c r="N565">
        <v>52.36</v>
      </c>
      <c r="O565">
        <v>28452.71</v>
      </c>
      <c r="P565">
        <v>191.75</v>
      </c>
      <c r="Q565">
        <v>988.24</v>
      </c>
      <c r="R565">
        <v>57.53</v>
      </c>
      <c r="S565">
        <v>35.43</v>
      </c>
      <c r="T565">
        <v>9913.7099999999991</v>
      </c>
      <c r="U565">
        <v>0.62</v>
      </c>
      <c r="V565">
        <v>0.85</v>
      </c>
      <c r="W565">
        <v>3.02</v>
      </c>
      <c r="X565">
        <v>0.63</v>
      </c>
      <c r="Y565">
        <v>1</v>
      </c>
      <c r="Z565">
        <v>10</v>
      </c>
    </row>
    <row r="566" spans="1:26" x14ac:dyDescent="0.3">
      <c r="A566">
        <v>15</v>
      </c>
      <c r="B566">
        <v>115</v>
      </c>
      <c r="C566" t="s">
        <v>26</v>
      </c>
      <c r="D566">
        <v>5.7744999999999997</v>
      </c>
      <c r="E566">
        <v>17.32</v>
      </c>
      <c r="F566">
        <v>13.34</v>
      </c>
      <c r="G566">
        <v>26.68</v>
      </c>
      <c r="H566">
        <v>0.37</v>
      </c>
      <c r="I566">
        <v>30</v>
      </c>
      <c r="J566">
        <v>229.22</v>
      </c>
      <c r="K566">
        <v>56.94</v>
      </c>
      <c r="L566">
        <v>4.75</v>
      </c>
      <c r="M566">
        <v>28</v>
      </c>
      <c r="N566">
        <v>52.53</v>
      </c>
      <c r="O566">
        <v>28504.87</v>
      </c>
      <c r="P566">
        <v>190.43</v>
      </c>
      <c r="Q566">
        <v>988.1</v>
      </c>
      <c r="R566">
        <v>55.85</v>
      </c>
      <c r="S566">
        <v>35.43</v>
      </c>
      <c r="T566">
        <v>9087.15</v>
      </c>
      <c r="U566">
        <v>0.63</v>
      </c>
      <c r="V566">
        <v>0.85</v>
      </c>
      <c r="W566">
        <v>3.02</v>
      </c>
      <c r="X566">
        <v>0.59</v>
      </c>
      <c r="Y566">
        <v>1</v>
      </c>
      <c r="Z566">
        <v>10</v>
      </c>
    </row>
    <row r="567" spans="1:26" x14ac:dyDescent="0.3">
      <c r="A567">
        <v>16</v>
      </c>
      <c r="B567">
        <v>115</v>
      </c>
      <c r="C567" t="s">
        <v>26</v>
      </c>
      <c r="D567">
        <v>5.8162000000000003</v>
      </c>
      <c r="E567">
        <v>17.190000000000001</v>
      </c>
      <c r="F567">
        <v>13.3</v>
      </c>
      <c r="G567">
        <v>28.51</v>
      </c>
      <c r="H567">
        <v>0.39</v>
      </c>
      <c r="I567">
        <v>28</v>
      </c>
      <c r="J567">
        <v>229.65</v>
      </c>
      <c r="K567">
        <v>56.94</v>
      </c>
      <c r="L567">
        <v>5</v>
      </c>
      <c r="M567">
        <v>26</v>
      </c>
      <c r="N567">
        <v>52.7</v>
      </c>
      <c r="O567">
        <v>28557.1</v>
      </c>
      <c r="P567">
        <v>188.6</v>
      </c>
      <c r="Q567">
        <v>988.13</v>
      </c>
      <c r="R567">
        <v>54.68</v>
      </c>
      <c r="S567">
        <v>35.43</v>
      </c>
      <c r="T567">
        <v>8511.9599999999991</v>
      </c>
      <c r="U567">
        <v>0.65</v>
      </c>
      <c r="V567">
        <v>0.86</v>
      </c>
      <c r="W567">
        <v>3.02</v>
      </c>
      <c r="X567">
        <v>0.55000000000000004</v>
      </c>
      <c r="Y567">
        <v>1</v>
      </c>
      <c r="Z567">
        <v>10</v>
      </c>
    </row>
    <row r="568" spans="1:26" x14ac:dyDescent="0.3">
      <c r="A568">
        <v>17</v>
      </c>
      <c r="B568">
        <v>115</v>
      </c>
      <c r="C568" t="s">
        <v>26</v>
      </c>
      <c r="D568">
        <v>5.8423999999999996</v>
      </c>
      <c r="E568">
        <v>17.12</v>
      </c>
      <c r="F568">
        <v>13.27</v>
      </c>
      <c r="G568">
        <v>29.49</v>
      </c>
      <c r="H568">
        <v>0.41</v>
      </c>
      <c r="I568">
        <v>27</v>
      </c>
      <c r="J568">
        <v>230.07</v>
      </c>
      <c r="K568">
        <v>56.94</v>
      </c>
      <c r="L568">
        <v>5.25</v>
      </c>
      <c r="M568">
        <v>25</v>
      </c>
      <c r="N568">
        <v>52.88</v>
      </c>
      <c r="O568">
        <v>28609.38</v>
      </c>
      <c r="P568">
        <v>187.53</v>
      </c>
      <c r="Q568">
        <v>988.13</v>
      </c>
      <c r="R568">
        <v>53.83</v>
      </c>
      <c r="S568">
        <v>35.43</v>
      </c>
      <c r="T568">
        <v>8090.74</v>
      </c>
      <c r="U568">
        <v>0.66</v>
      </c>
      <c r="V568">
        <v>0.86</v>
      </c>
      <c r="W568">
        <v>3.01</v>
      </c>
      <c r="X568">
        <v>0.52</v>
      </c>
      <c r="Y568">
        <v>1</v>
      </c>
      <c r="Z568">
        <v>10</v>
      </c>
    </row>
    <row r="569" spans="1:26" x14ac:dyDescent="0.3">
      <c r="A569">
        <v>18</v>
      </c>
      <c r="B569">
        <v>115</v>
      </c>
      <c r="C569" t="s">
        <v>26</v>
      </c>
      <c r="D569">
        <v>5.8627000000000002</v>
      </c>
      <c r="E569">
        <v>17.059999999999999</v>
      </c>
      <c r="F569">
        <v>13.26</v>
      </c>
      <c r="G569">
        <v>30.59</v>
      </c>
      <c r="H569">
        <v>0.42</v>
      </c>
      <c r="I569">
        <v>26</v>
      </c>
      <c r="J569">
        <v>230.49</v>
      </c>
      <c r="K569">
        <v>56.94</v>
      </c>
      <c r="L569">
        <v>5.5</v>
      </c>
      <c r="M569">
        <v>24</v>
      </c>
      <c r="N569">
        <v>53.05</v>
      </c>
      <c r="O569">
        <v>28661.73</v>
      </c>
      <c r="P569">
        <v>186.67</v>
      </c>
      <c r="Q569">
        <v>988.11</v>
      </c>
      <c r="R569">
        <v>53.38</v>
      </c>
      <c r="S569">
        <v>35.43</v>
      </c>
      <c r="T569">
        <v>7869.38</v>
      </c>
      <c r="U569">
        <v>0.66</v>
      </c>
      <c r="V569">
        <v>0.86</v>
      </c>
      <c r="W569">
        <v>3</v>
      </c>
      <c r="X569">
        <v>0.5</v>
      </c>
      <c r="Y569">
        <v>1</v>
      </c>
      <c r="Z569">
        <v>10</v>
      </c>
    </row>
    <row r="570" spans="1:26" x14ac:dyDescent="0.3">
      <c r="A570">
        <v>19</v>
      </c>
      <c r="B570">
        <v>115</v>
      </c>
      <c r="C570" t="s">
        <v>26</v>
      </c>
      <c r="D570">
        <v>5.9092000000000002</v>
      </c>
      <c r="E570">
        <v>16.920000000000002</v>
      </c>
      <c r="F570">
        <v>13.21</v>
      </c>
      <c r="G570">
        <v>33.020000000000003</v>
      </c>
      <c r="H570">
        <v>0.44</v>
      </c>
      <c r="I570">
        <v>24</v>
      </c>
      <c r="J570">
        <v>230.92</v>
      </c>
      <c r="K570">
        <v>56.94</v>
      </c>
      <c r="L570">
        <v>5.75</v>
      </c>
      <c r="M570">
        <v>22</v>
      </c>
      <c r="N570">
        <v>53.23</v>
      </c>
      <c r="O570">
        <v>28714.14</v>
      </c>
      <c r="P570">
        <v>184.83</v>
      </c>
      <c r="Q570">
        <v>988.21</v>
      </c>
      <c r="R570">
        <v>51.9</v>
      </c>
      <c r="S570">
        <v>35.43</v>
      </c>
      <c r="T570">
        <v>7141.91</v>
      </c>
      <c r="U570">
        <v>0.68</v>
      </c>
      <c r="V570">
        <v>0.86</v>
      </c>
      <c r="W570">
        <v>3</v>
      </c>
      <c r="X570">
        <v>0.45</v>
      </c>
      <c r="Y570">
        <v>1</v>
      </c>
      <c r="Z570">
        <v>10</v>
      </c>
    </row>
    <row r="571" spans="1:26" x14ac:dyDescent="0.3">
      <c r="A571">
        <v>20</v>
      </c>
      <c r="B571">
        <v>115</v>
      </c>
      <c r="C571" t="s">
        <v>26</v>
      </c>
      <c r="D571">
        <v>5.9279999999999999</v>
      </c>
      <c r="E571">
        <v>16.87</v>
      </c>
      <c r="F571">
        <v>13.2</v>
      </c>
      <c r="G571">
        <v>34.43</v>
      </c>
      <c r="H571">
        <v>0.46</v>
      </c>
      <c r="I571">
        <v>23</v>
      </c>
      <c r="J571">
        <v>231.34</v>
      </c>
      <c r="K571">
        <v>56.94</v>
      </c>
      <c r="L571">
        <v>6</v>
      </c>
      <c r="M571">
        <v>21</v>
      </c>
      <c r="N571">
        <v>53.4</v>
      </c>
      <c r="O571">
        <v>28766.61</v>
      </c>
      <c r="P571">
        <v>184</v>
      </c>
      <c r="Q571">
        <v>988.1</v>
      </c>
      <c r="R571">
        <v>51.61</v>
      </c>
      <c r="S571">
        <v>35.43</v>
      </c>
      <c r="T571">
        <v>6998.96</v>
      </c>
      <c r="U571">
        <v>0.69</v>
      </c>
      <c r="V571">
        <v>0.86</v>
      </c>
      <c r="W571">
        <v>3</v>
      </c>
      <c r="X571">
        <v>0.45</v>
      </c>
      <c r="Y571">
        <v>1</v>
      </c>
      <c r="Z571">
        <v>10</v>
      </c>
    </row>
    <row r="572" spans="1:26" x14ac:dyDescent="0.3">
      <c r="A572">
        <v>21</v>
      </c>
      <c r="B572">
        <v>115</v>
      </c>
      <c r="C572" t="s">
        <v>26</v>
      </c>
      <c r="D572">
        <v>5.9542999999999999</v>
      </c>
      <c r="E572">
        <v>16.79</v>
      </c>
      <c r="F572">
        <v>13.17</v>
      </c>
      <c r="G572">
        <v>35.909999999999997</v>
      </c>
      <c r="H572">
        <v>0.48</v>
      </c>
      <c r="I572">
        <v>22</v>
      </c>
      <c r="J572">
        <v>231.77</v>
      </c>
      <c r="K572">
        <v>56.94</v>
      </c>
      <c r="L572">
        <v>6.25</v>
      </c>
      <c r="M572">
        <v>20</v>
      </c>
      <c r="N572">
        <v>53.58</v>
      </c>
      <c r="O572">
        <v>28819.14</v>
      </c>
      <c r="P572">
        <v>182.86</v>
      </c>
      <c r="Q572">
        <v>988.11</v>
      </c>
      <c r="R572">
        <v>50.57</v>
      </c>
      <c r="S572">
        <v>35.43</v>
      </c>
      <c r="T572">
        <v>6486.99</v>
      </c>
      <c r="U572">
        <v>0.7</v>
      </c>
      <c r="V572">
        <v>0.87</v>
      </c>
      <c r="W572">
        <v>3</v>
      </c>
      <c r="X572">
        <v>0.41</v>
      </c>
      <c r="Y572">
        <v>1</v>
      </c>
      <c r="Z572">
        <v>10</v>
      </c>
    </row>
    <row r="573" spans="1:26" x14ac:dyDescent="0.3">
      <c r="A573">
        <v>22</v>
      </c>
      <c r="B573">
        <v>115</v>
      </c>
      <c r="C573" t="s">
        <v>26</v>
      </c>
      <c r="D573">
        <v>5.9734999999999996</v>
      </c>
      <c r="E573">
        <v>16.739999999999998</v>
      </c>
      <c r="F573">
        <v>13.16</v>
      </c>
      <c r="G573">
        <v>37.590000000000003</v>
      </c>
      <c r="H573">
        <v>0.5</v>
      </c>
      <c r="I573">
        <v>21</v>
      </c>
      <c r="J573">
        <v>232.2</v>
      </c>
      <c r="K573">
        <v>56.94</v>
      </c>
      <c r="L573">
        <v>6.5</v>
      </c>
      <c r="M573">
        <v>19</v>
      </c>
      <c r="N573">
        <v>53.75</v>
      </c>
      <c r="O573">
        <v>28871.74</v>
      </c>
      <c r="P573">
        <v>181.69</v>
      </c>
      <c r="Q573">
        <v>988.09</v>
      </c>
      <c r="R573">
        <v>50.21</v>
      </c>
      <c r="S573">
        <v>35.43</v>
      </c>
      <c r="T573">
        <v>6309</v>
      </c>
      <c r="U573">
        <v>0.71</v>
      </c>
      <c r="V573">
        <v>0.87</v>
      </c>
      <c r="W573">
        <v>3</v>
      </c>
      <c r="X573">
        <v>0.4</v>
      </c>
      <c r="Y573">
        <v>1</v>
      </c>
      <c r="Z573">
        <v>10</v>
      </c>
    </row>
    <row r="574" spans="1:26" x14ac:dyDescent="0.3">
      <c r="A574">
        <v>23</v>
      </c>
      <c r="B574">
        <v>115</v>
      </c>
      <c r="C574" t="s">
        <v>26</v>
      </c>
      <c r="D574">
        <v>5.9749999999999996</v>
      </c>
      <c r="E574">
        <v>16.739999999999998</v>
      </c>
      <c r="F574">
        <v>13.15</v>
      </c>
      <c r="G574">
        <v>37.58</v>
      </c>
      <c r="H574">
        <v>0.52</v>
      </c>
      <c r="I574">
        <v>21</v>
      </c>
      <c r="J574">
        <v>232.62</v>
      </c>
      <c r="K574">
        <v>56.94</v>
      </c>
      <c r="L574">
        <v>6.75</v>
      </c>
      <c r="M574">
        <v>19</v>
      </c>
      <c r="N574">
        <v>53.93</v>
      </c>
      <c r="O574">
        <v>28924.39</v>
      </c>
      <c r="P574">
        <v>180.62</v>
      </c>
      <c r="Q574">
        <v>988.08</v>
      </c>
      <c r="R574">
        <v>50.07</v>
      </c>
      <c r="S574">
        <v>35.43</v>
      </c>
      <c r="T574">
        <v>6242.53</v>
      </c>
      <c r="U574">
        <v>0.71</v>
      </c>
      <c r="V574">
        <v>0.87</v>
      </c>
      <c r="W574">
        <v>3</v>
      </c>
      <c r="X574">
        <v>0.4</v>
      </c>
      <c r="Y574">
        <v>1</v>
      </c>
      <c r="Z574">
        <v>10</v>
      </c>
    </row>
    <row r="575" spans="1:26" x14ac:dyDescent="0.3">
      <c r="A575">
        <v>24</v>
      </c>
      <c r="B575">
        <v>115</v>
      </c>
      <c r="C575" t="s">
        <v>26</v>
      </c>
      <c r="D575">
        <v>6.0026000000000002</v>
      </c>
      <c r="E575">
        <v>16.66</v>
      </c>
      <c r="F575">
        <v>13.12</v>
      </c>
      <c r="G575">
        <v>39.36</v>
      </c>
      <c r="H575">
        <v>0.53</v>
      </c>
      <c r="I575">
        <v>20</v>
      </c>
      <c r="J575">
        <v>233.05</v>
      </c>
      <c r="K575">
        <v>56.94</v>
      </c>
      <c r="L575">
        <v>7</v>
      </c>
      <c r="M575">
        <v>18</v>
      </c>
      <c r="N575">
        <v>54.11</v>
      </c>
      <c r="O575">
        <v>28977.11</v>
      </c>
      <c r="P575">
        <v>179.64</v>
      </c>
      <c r="Q575">
        <v>988.2</v>
      </c>
      <c r="R575">
        <v>48.98</v>
      </c>
      <c r="S575">
        <v>35.43</v>
      </c>
      <c r="T575">
        <v>5702.32</v>
      </c>
      <c r="U575">
        <v>0.72</v>
      </c>
      <c r="V575">
        <v>0.87</v>
      </c>
      <c r="W575">
        <v>3</v>
      </c>
      <c r="X575">
        <v>0.37</v>
      </c>
      <c r="Y575">
        <v>1</v>
      </c>
      <c r="Z575">
        <v>10</v>
      </c>
    </row>
    <row r="576" spans="1:26" x14ac:dyDescent="0.3">
      <c r="A576">
        <v>25</v>
      </c>
      <c r="B576">
        <v>115</v>
      </c>
      <c r="C576" t="s">
        <v>26</v>
      </c>
      <c r="D576">
        <v>6.0213999999999999</v>
      </c>
      <c r="E576">
        <v>16.61</v>
      </c>
      <c r="F576">
        <v>13.11</v>
      </c>
      <c r="G576">
        <v>41.41</v>
      </c>
      <c r="H576">
        <v>0.55000000000000004</v>
      </c>
      <c r="I576">
        <v>19</v>
      </c>
      <c r="J576">
        <v>233.48</v>
      </c>
      <c r="K576">
        <v>56.94</v>
      </c>
      <c r="L576">
        <v>7.25</v>
      </c>
      <c r="M576">
        <v>17</v>
      </c>
      <c r="N576">
        <v>54.29</v>
      </c>
      <c r="O576">
        <v>29029.89</v>
      </c>
      <c r="P576">
        <v>178.58</v>
      </c>
      <c r="Q576">
        <v>988.17</v>
      </c>
      <c r="R576">
        <v>48.81</v>
      </c>
      <c r="S576">
        <v>35.43</v>
      </c>
      <c r="T576">
        <v>5621.75</v>
      </c>
      <c r="U576">
        <v>0.73</v>
      </c>
      <c r="V576">
        <v>0.87</v>
      </c>
      <c r="W576">
        <v>3</v>
      </c>
      <c r="X576">
        <v>0.36</v>
      </c>
      <c r="Y576">
        <v>1</v>
      </c>
      <c r="Z576">
        <v>10</v>
      </c>
    </row>
    <row r="577" spans="1:26" x14ac:dyDescent="0.3">
      <c r="A577">
        <v>26</v>
      </c>
      <c r="B577">
        <v>115</v>
      </c>
      <c r="C577" t="s">
        <v>26</v>
      </c>
      <c r="D577">
        <v>6.0427999999999997</v>
      </c>
      <c r="E577">
        <v>16.55</v>
      </c>
      <c r="F577">
        <v>13.1</v>
      </c>
      <c r="G577">
        <v>43.66</v>
      </c>
      <c r="H577">
        <v>0.56999999999999995</v>
      </c>
      <c r="I577">
        <v>18</v>
      </c>
      <c r="J577">
        <v>233.91</v>
      </c>
      <c r="K577">
        <v>56.94</v>
      </c>
      <c r="L577">
        <v>7.5</v>
      </c>
      <c r="M577">
        <v>16</v>
      </c>
      <c r="N577">
        <v>54.46</v>
      </c>
      <c r="O577">
        <v>29082.74</v>
      </c>
      <c r="P577">
        <v>177.42</v>
      </c>
      <c r="Q577">
        <v>988.15</v>
      </c>
      <c r="R577">
        <v>48.36</v>
      </c>
      <c r="S577">
        <v>35.43</v>
      </c>
      <c r="T577">
        <v>5403</v>
      </c>
      <c r="U577">
        <v>0.73</v>
      </c>
      <c r="V577">
        <v>0.87</v>
      </c>
      <c r="W577">
        <v>2.99</v>
      </c>
      <c r="X577">
        <v>0.34</v>
      </c>
      <c r="Y577">
        <v>1</v>
      </c>
      <c r="Z577">
        <v>10</v>
      </c>
    </row>
    <row r="578" spans="1:26" x14ac:dyDescent="0.3">
      <c r="A578">
        <v>27</v>
      </c>
      <c r="B578">
        <v>115</v>
      </c>
      <c r="C578" t="s">
        <v>26</v>
      </c>
      <c r="D578">
        <v>6.0437000000000003</v>
      </c>
      <c r="E578">
        <v>16.55</v>
      </c>
      <c r="F578">
        <v>13.1</v>
      </c>
      <c r="G578">
        <v>43.65</v>
      </c>
      <c r="H578">
        <v>0.59</v>
      </c>
      <c r="I578">
        <v>18</v>
      </c>
      <c r="J578">
        <v>234.34</v>
      </c>
      <c r="K578">
        <v>56.94</v>
      </c>
      <c r="L578">
        <v>7.75</v>
      </c>
      <c r="M578">
        <v>16</v>
      </c>
      <c r="N578">
        <v>54.64</v>
      </c>
      <c r="O578">
        <v>29135.65</v>
      </c>
      <c r="P578">
        <v>176.2</v>
      </c>
      <c r="Q578">
        <v>988.11</v>
      </c>
      <c r="R578">
        <v>48.38</v>
      </c>
      <c r="S578">
        <v>35.43</v>
      </c>
      <c r="T578">
        <v>5409.24</v>
      </c>
      <c r="U578">
        <v>0.73</v>
      </c>
      <c r="V578">
        <v>0.87</v>
      </c>
      <c r="W578">
        <v>2.99</v>
      </c>
      <c r="X578">
        <v>0.34</v>
      </c>
      <c r="Y578">
        <v>1</v>
      </c>
      <c r="Z578">
        <v>10</v>
      </c>
    </row>
    <row r="579" spans="1:26" x14ac:dyDescent="0.3">
      <c r="A579">
        <v>28</v>
      </c>
      <c r="B579">
        <v>115</v>
      </c>
      <c r="C579" t="s">
        <v>26</v>
      </c>
      <c r="D579">
        <v>6.0708000000000002</v>
      </c>
      <c r="E579">
        <v>16.47</v>
      </c>
      <c r="F579">
        <v>13.07</v>
      </c>
      <c r="G579">
        <v>46.11</v>
      </c>
      <c r="H579">
        <v>0.61</v>
      </c>
      <c r="I579">
        <v>17</v>
      </c>
      <c r="J579">
        <v>234.77</v>
      </c>
      <c r="K579">
        <v>56.94</v>
      </c>
      <c r="L579">
        <v>8</v>
      </c>
      <c r="M579">
        <v>15</v>
      </c>
      <c r="N579">
        <v>54.82</v>
      </c>
      <c r="O579">
        <v>29188.62</v>
      </c>
      <c r="P579">
        <v>174.63</v>
      </c>
      <c r="Q579">
        <v>988.17</v>
      </c>
      <c r="R579">
        <v>47.64</v>
      </c>
      <c r="S579">
        <v>35.43</v>
      </c>
      <c r="T579">
        <v>5044.25</v>
      </c>
      <c r="U579">
        <v>0.74</v>
      </c>
      <c r="V579">
        <v>0.87</v>
      </c>
      <c r="W579">
        <v>2.99</v>
      </c>
      <c r="X579">
        <v>0.31</v>
      </c>
      <c r="Y579">
        <v>1</v>
      </c>
      <c r="Z579">
        <v>10</v>
      </c>
    </row>
    <row r="580" spans="1:26" x14ac:dyDescent="0.3">
      <c r="A580">
        <v>29</v>
      </c>
      <c r="B580">
        <v>115</v>
      </c>
      <c r="C580" t="s">
        <v>26</v>
      </c>
      <c r="D580">
        <v>6.0669000000000004</v>
      </c>
      <c r="E580">
        <v>16.48</v>
      </c>
      <c r="F580">
        <v>13.08</v>
      </c>
      <c r="G580">
        <v>46.15</v>
      </c>
      <c r="H580">
        <v>0.62</v>
      </c>
      <c r="I580">
        <v>17</v>
      </c>
      <c r="J580">
        <v>235.2</v>
      </c>
      <c r="K580">
        <v>56.94</v>
      </c>
      <c r="L580">
        <v>8.25</v>
      </c>
      <c r="M580">
        <v>15</v>
      </c>
      <c r="N580">
        <v>55</v>
      </c>
      <c r="O580">
        <v>29241.66</v>
      </c>
      <c r="P580">
        <v>173.63</v>
      </c>
      <c r="Q580">
        <v>988.08</v>
      </c>
      <c r="R580">
        <v>47.62</v>
      </c>
      <c r="S580">
        <v>35.43</v>
      </c>
      <c r="T580">
        <v>5036.95</v>
      </c>
      <c r="U580">
        <v>0.74</v>
      </c>
      <c r="V580">
        <v>0.87</v>
      </c>
      <c r="W580">
        <v>3</v>
      </c>
      <c r="X580">
        <v>0.32</v>
      </c>
      <c r="Y580">
        <v>1</v>
      </c>
      <c r="Z580">
        <v>10</v>
      </c>
    </row>
    <row r="581" spans="1:26" x14ac:dyDescent="0.3">
      <c r="A581">
        <v>30</v>
      </c>
      <c r="B581">
        <v>115</v>
      </c>
      <c r="C581" t="s">
        <v>26</v>
      </c>
      <c r="D581">
        <v>6.0925000000000002</v>
      </c>
      <c r="E581">
        <v>16.41</v>
      </c>
      <c r="F581">
        <v>13.05</v>
      </c>
      <c r="G581">
        <v>48.94</v>
      </c>
      <c r="H581">
        <v>0.64</v>
      </c>
      <c r="I581">
        <v>16</v>
      </c>
      <c r="J581">
        <v>235.63</v>
      </c>
      <c r="K581">
        <v>56.94</v>
      </c>
      <c r="L581">
        <v>8.5</v>
      </c>
      <c r="M581">
        <v>14</v>
      </c>
      <c r="N581">
        <v>55.18</v>
      </c>
      <c r="O581">
        <v>29294.76</v>
      </c>
      <c r="P581">
        <v>172.89</v>
      </c>
      <c r="Q581">
        <v>988.12</v>
      </c>
      <c r="R581">
        <v>47</v>
      </c>
      <c r="S581">
        <v>35.43</v>
      </c>
      <c r="T581">
        <v>4733.25</v>
      </c>
      <c r="U581">
        <v>0.75</v>
      </c>
      <c r="V581">
        <v>0.87</v>
      </c>
      <c r="W581">
        <v>2.99</v>
      </c>
      <c r="X581">
        <v>0.3</v>
      </c>
      <c r="Y581">
        <v>1</v>
      </c>
      <c r="Z581">
        <v>10</v>
      </c>
    </row>
    <row r="582" spans="1:26" x14ac:dyDescent="0.3">
      <c r="A582">
        <v>31</v>
      </c>
      <c r="B582">
        <v>115</v>
      </c>
      <c r="C582" t="s">
        <v>26</v>
      </c>
      <c r="D582">
        <v>6.1158000000000001</v>
      </c>
      <c r="E582">
        <v>16.350000000000001</v>
      </c>
      <c r="F582">
        <v>13.03</v>
      </c>
      <c r="G582">
        <v>52.13</v>
      </c>
      <c r="H582">
        <v>0.66</v>
      </c>
      <c r="I582">
        <v>15</v>
      </c>
      <c r="J582">
        <v>236.06</v>
      </c>
      <c r="K582">
        <v>56.94</v>
      </c>
      <c r="L582">
        <v>8.75</v>
      </c>
      <c r="M582">
        <v>13</v>
      </c>
      <c r="N582">
        <v>55.36</v>
      </c>
      <c r="O582">
        <v>29347.919999999998</v>
      </c>
      <c r="P582">
        <v>171</v>
      </c>
      <c r="Q582">
        <v>988.08</v>
      </c>
      <c r="R582">
        <v>46.61</v>
      </c>
      <c r="S582">
        <v>35.43</v>
      </c>
      <c r="T582">
        <v>4540.49</v>
      </c>
      <c r="U582">
        <v>0.76</v>
      </c>
      <c r="V582">
        <v>0.87</v>
      </c>
      <c r="W582">
        <v>2.98</v>
      </c>
      <c r="X582">
        <v>0.28000000000000003</v>
      </c>
      <c r="Y582">
        <v>1</v>
      </c>
      <c r="Z582">
        <v>10</v>
      </c>
    </row>
    <row r="583" spans="1:26" x14ac:dyDescent="0.3">
      <c r="A583">
        <v>32</v>
      </c>
      <c r="B583">
        <v>115</v>
      </c>
      <c r="C583" t="s">
        <v>26</v>
      </c>
      <c r="D583">
        <v>6.1125999999999996</v>
      </c>
      <c r="E583">
        <v>16.36</v>
      </c>
      <c r="F583">
        <v>13.04</v>
      </c>
      <c r="G583">
        <v>52.16</v>
      </c>
      <c r="H583">
        <v>0.68</v>
      </c>
      <c r="I583">
        <v>15</v>
      </c>
      <c r="J583">
        <v>236.49</v>
      </c>
      <c r="K583">
        <v>56.94</v>
      </c>
      <c r="L583">
        <v>9</v>
      </c>
      <c r="M583">
        <v>13</v>
      </c>
      <c r="N583">
        <v>55.55</v>
      </c>
      <c r="O583">
        <v>29401.15</v>
      </c>
      <c r="P583">
        <v>170.71</v>
      </c>
      <c r="Q583">
        <v>988.18</v>
      </c>
      <c r="R583">
        <v>46.53</v>
      </c>
      <c r="S583">
        <v>35.43</v>
      </c>
      <c r="T583">
        <v>4503.22</v>
      </c>
      <c r="U583">
        <v>0.76</v>
      </c>
      <c r="V583">
        <v>0.87</v>
      </c>
      <c r="W583">
        <v>2.99</v>
      </c>
      <c r="X583">
        <v>0.28999999999999998</v>
      </c>
      <c r="Y583">
        <v>1</v>
      </c>
      <c r="Z583">
        <v>10</v>
      </c>
    </row>
    <row r="584" spans="1:26" x14ac:dyDescent="0.3">
      <c r="A584">
        <v>33</v>
      </c>
      <c r="B584">
        <v>115</v>
      </c>
      <c r="C584" t="s">
        <v>26</v>
      </c>
      <c r="D584">
        <v>6.1104000000000003</v>
      </c>
      <c r="E584">
        <v>16.37</v>
      </c>
      <c r="F584">
        <v>13.05</v>
      </c>
      <c r="G584">
        <v>52.19</v>
      </c>
      <c r="H584">
        <v>0.69</v>
      </c>
      <c r="I584">
        <v>15</v>
      </c>
      <c r="J584">
        <v>236.92</v>
      </c>
      <c r="K584">
        <v>56.94</v>
      </c>
      <c r="L584">
        <v>9.25</v>
      </c>
      <c r="M584">
        <v>13</v>
      </c>
      <c r="N584">
        <v>55.73</v>
      </c>
      <c r="O584">
        <v>29454.44</v>
      </c>
      <c r="P584">
        <v>169.68</v>
      </c>
      <c r="Q584">
        <v>988.1</v>
      </c>
      <c r="R584">
        <v>46.77</v>
      </c>
      <c r="S584">
        <v>35.43</v>
      </c>
      <c r="T584">
        <v>4622.29</v>
      </c>
      <c r="U584">
        <v>0.76</v>
      </c>
      <c r="V584">
        <v>0.87</v>
      </c>
      <c r="W584">
        <v>2.99</v>
      </c>
      <c r="X584">
        <v>0.28999999999999998</v>
      </c>
      <c r="Y584">
        <v>1</v>
      </c>
      <c r="Z584">
        <v>10</v>
      </c>
    </row>
    <row r="585" spans="1:26" x14ac:dyDescent="0.3">
      <c r="A585">
        <v>34</v>
      </c>
      <c r="B585">
        <v>115</v>
      </c>
      <c r="C585" t="s">
        <v>26</v>
      </c>
      <c r="D585">
        <v>6.1402999999999999</v>
      </c>
      <c r="E585">
        <v>16.29</v>
      </c>
      <c r="F585">
        <v>13.01</v>
      </c>
      <c r="G585">
        <v>55.76</v>
      </c>
      <c r="H585">
        <v>0.71</v>
      </c>
      <c r="I585">
        <v>14</v>
      </c>
      <c r="J585">
        <v>237.35</v>
      </c>
      <c r="K585">
        <v>56.94</v>
      </c>
      <c r="L585">
        <v>9.5</v>
      </c>
      <c r="M585">
        <v>12</v>
      </c>
      <c r="N585">
        <v>55.91</v>
      </c>
      <c r="O585">
        <v>29507.8</v>
      </c>
      <c r="P585">
        <v>168.63</v>
      </c>
      <c r="Q585">
        <v>988.11</v>
      </c>
      <c r="R585">
        <v>45.85</v>
      </c>
      <c r="S585">
        <v>35.43</v>
      </c>
      <c r="T585">
        <v>4164.71</v>
      </c>
      <c r="U585">
        <v>0.77</v>
      </c>
      <c r="V585">
        <v>0.88</v>
      </c>
      <c r="W585">
        <v>2.98</v>
      </c>
      <c r="X585">
        <v>0.26</v>
      </c>
      <c r="Y585">
        <v>1</v>
      </c>
      <c r="Z585">
        <v>10</v>
      </c>
    </row>
    <row r="586" spans="1:26" x14ac:dyDescent="0.3">
      <c r="A586">
        <v>35</v>
      </c>
      <c r="B586">
        <v>115</v>
      </c>
      <c r="C586" t="s">
        <v>26</v>
      </c>
      <c r="D586">
        <v>6.1444999999999999</v>
      </c>
      <c r="E586">
        <v>16.27</v>
      </c>
      <c r="F586">
        <v>13</v>
      </c>
      <c r="G586">
        <v>55.71</v>
      </c>
      <c r="H586">
        <v>0.73</v>
      </c>
      <c r="I586">
        <v>14</v>
      </c>
      <c r="J586">
        <v>237.79</v>
      </c>
      <c r="K586">
        <v>56.94</v>
      </c>
      <c r="L586">
        <v>9.75</v>
      </c>
      <c r="M586">
        <v>12</v>
      </c>
      <c r="N586">
        <v>56.09</v>
      </c>
      <c r="O586">
        <v>29561.22</v>
      </c>
      <c r="P586">
        <v>167.37</v>
      </c>
      <c r="Q586">
        <v>988.11</v>
      </c>
      <c r="R586">
        <v>45.3</v>
      </c>
      <c r="S586">
        <v>35.43</v>
      </c>
      <c r="T586">
        <v>3890.9</v>
      </c>
      <c r="U586">
        <v>0.78</v>
      </c>
      <c r="V586">
        <v>0.88</v>
      </c>
      <c r="W586">
        <v>2.99</v>
      </c>
      <c r="X586">
        <v>0.25</v>
      </c>
      <c r="Y586">
        <v>1</v>
      </c>
      <c r="Z586">
        <v>10</v>
      </c>
    </row>
    <row r="587" spans="1:26" x14ac:dyDescent="0.3">
      <c r="A587">
        <v>36</v>
      </c>
      <c r="B587">
        <v>115</v>
      </c>
      <c r="C587" t="s">
        <v>26</v>
      </c>
      <c r="D587">
        <v>6.1623999999999999</v>
      </c>
      <c r="E587">
        <v>16.23</v>
      </c>
      <c r="F587">
        <v>13</v>
      </c>
      <c r="G587">
        <v>59.98</v>
      </c>
      <c r="H587">
        <v>0.75</v>
      </c>
      <c r="I587">
        <v>13</v>
      </c>
      <c r="J587">
        <v>238.22</v>
      </c>
      <c r="K587">
        <v>56.94</v>
      </c>
      <c r="L587">
        <v>10</v>
      </c>
      <c r="M587">
        <v>11</v>
      </c>
      <c r="N587">
        <v>56.28</v>
      </c>
      <c r="O587">
        <v>29614.71</v>
      </c>
      <c r="P587">
        <v>165.9</v>
      </c>
      <c r="Q587">
        <v>988.08</v>
      </c>
      <c r="R587">
        <v>45.29</v>
      </c>
      <c r="S587">
        <v>35.43</v>
      </c>
      <c r="T587">
        <v>3892.71</v>
      </c>
      <c r="U587">
        <v>0.78</v>
      </c>
      <c r="V587">
        <v>0.88</v>
      </c>
      <c r="W587">
        <v>2.98</v>
      </c>
      <c r="X587">
        <v>0.24</v>
      </c>
      <c r="Y587">
        <v>1</v>
      </c>
      <c r="Z587">
        <v>10</v>
      </c>
    </row>
    <row r="588" spans="1:26" x14ac:dyDescent="0.3">
      <c r="A588">
        <v>37</v>
      </c>
      <c r="B588">
        <v>115</v>
      </c>
      <c r="C588" t="s">
        <v>26</v>
      </c>
      <c r="D588">
        <v>6.1630000000000003</v>
      </c>
      <c r="E588">
        <v>16.23</v>
      </c>
      <c r="F588">
        <v>12.99</v>
      </c>
      <c r="G588">
        <v>59.97</v>
      </c>
      <c r="H588">
        <v>0.76</v>
      </c>
      <c r="I588">
        <v>13</v>
      </c>
      <c r="J588">
        <v>238.66</v>
      </c>
      <c r="K588">
        <v>56.94</v>
      </c>
      <c r="L588">
        <v>10.25</v>
      </c>
      <c r="M588">
        <v>11</v>
      </c>
      <c r="N588">
        <v>56.46</v>
      </c>
      <c r="O588">
        <v>29668.27</v>
      </c>
      <c r="P588">
        <v>165.11</v>
      </c>
      <c r="Q588">
        <v>988.12</v>
      </c>
      <c r="R588">
        <v>45.16</v>
      </c>
      <c r="S588">
        <v>35.43</v>
      </c>
      <c r="T588">
        <v>3828.14</v>
      </c>
      <c r="U588">
        <v>0.78</v>
      </c>
      <c r="V588">
        <v>0.88</v>
      </c>
      <c r="W588">
        <v>2.99</v>
      </c>
      <c r="X588">
        <v>0.24</v>
      </c>
      <c r="Y588">
        <v>1</v>
      </c>
      <c r="Z588">
        <v>10</v>
      </c>
    </row>
    <row r="589" spans="1:26" x14ac:dyDescent="0.3">
      <c r="A589">
        <v>38</v>
      </c>
      <c r="B589">
        <v>115</v>
      </c>
      <c r="C589" t="s">
        <v>26</v>
      </c>
      <c r="D589">
        <v>6.1665000000000001</v>
      </c>
      <c r="E589">
        <v>16.22</v>
      </c>
      <c r="F589">
        <v>12.99</v>
      </c>
      <c r="G589">
        <v>59.93</v>
      </c>
      <c r="H589">
        <v>0.78</v>
      </c>
      <c r="I589">
        <v>13</v>
      </c>
      <c r="J589">
        <v>239.09</v>
      </c>
      <c r="K589">
        <v>56.94</v>
      </c>
      <c r="L589">
        <v>10.5</v>
      </c>
      <c r="M589">
        <v>11</v>
      </c>
      <c r="N589">
        <v>56.65</v>
      </c>
      <c r="O589">
        <v>29721.89</v>
      </c>
      <c r="P589">
        <v>163.58000000000001</v>
      </c>
      <c r="Q589">
        <v>988.13</v>
      </c>
      <c r="R589">
        <v>44.84</v>
      </c>
      <c r="S589">
        <v>35.43</v>
      </c>
      <c r="T589">
        <v>3666.61</v>
      </c>
      <c r="U589">
        <v>0.79</v>
      </c>
      <c r="V589">
        <v>0.88</v>
      </c>
      <c r="W589">
        <v>2.99</v>
      </c>
      <c r="X589">
        <v>0.23</v>
      </c>
      <c r="Y589">
        <v>1</v>
      </c>
      <c r="Z589">
        <v>10</v>
      </c>
    </row>
    <row r="590" spans="1:26" x14ac:dyDescent="0.3">
      <c r="A590">
        <v>39</v>
      </c>
      <c r="B590">
        <v>115</v>
      </c>
      <c r="C590" t="s">
        <v>26</v>
      </c>
      <c r="D590">
        <v>6.1905000000000001</v>
      </c>
      <c r="E590">
        <v>16.149999999999999</v>
      </c>
      <c r="F590">
        <v>12.97</v>
      </c>
      <c r="G590">
        <v>64.83</v>
      </c>
      <c r="H590">
        <v>0.8</v>
      </c>
      <c r="I590">
        <v>12</v>
      </c>
      <c r="J590">
        <v>239.53</v>
      </c>
      <c r="K590">
        <v>56.94</v>
      </c>
      <c r="L590">
        <v>10.75</v>
      </c>
      <c r="M590">
        <v>10</v>
      </c>
      <c r="N590">
        <v>56.83</v>
      </c>
      <c r="O590">
        <v>29775.57</v>
      </c>
      <c r="P590">
        <v>162.32</v>
      </c>
      <c r="Q590">
        <v>988.09</v>
      </c>
      <c r="R590">
        <v>44.38</v>
      </c>
      <c r="S590">
        <v>35.43</v>
      </c>
      <c r="T590">
        <v>3441.29</v>
      </c>
      <c r="U590">
        <v>0.8</v>
      </c>
      <c r="V590">
        <v>0.88</v>
      </c>
      <c r="W590">
        <v>2.98</v>
      </c>
      <c r="X590">
        <v>0.21</v>
      </c>
      <c r="Y590">
        <v>1</v>
      </c>
      <c r="Z590">
        <v>10</v>
      </c>
    </row>
    <row r="591" spans="1:26" x14ac:dyDescent="0.3">
      <c r="A591">
        <v>40</v>
      </c>
      <c r="B591">
        <v>115</v>
      </c>
      <c r="C591" t="s">
        <v>26</v>
      </c>
      <c r="D591">
        <v>6.1909999999999998</v>
      </c>
      <c r="E591">
        <v>16.149999999999999</v>
      </c>
      <c r="F591">
        <v>12.96</v>
      </c>
      <c r="G591">
        <v>64.83</v>
      </c>
      <c r="H591">
        <v>0.82</v>
      </c>
      <c r="I591">
        <v>12</v>
      </c>
      <c r="J591">
        <v>239.96</v>
      </c>
      <c r="K591">
        <v>56.94</v>
      </c>
      <c r="L591">
        <v>11</v>
      </c>
      <c r="M591">
        <v>10</v>
      </c>
      <c r="N591">
        <v>57.02</v>
      </c>
      <c r="O591">
        <v>29829.32</v>
      </c>
      <c r="P591">
        <v>161.74</v>
      </c>
      <c r="Q591">
        <v>988.16</v>
      </c>
      <c r="R591">
        <v>44.39</v>
      </c>
      <c r="S591">
        <v>35.43</v>
      </c>
      <c r="T591">
        <v>3445.3</v>
      </c>
      <c r="U591">
        <v>0.8</v>
      </c>
      <c r="V591">
        <v>0.88</v>
      </c>
      <c r="W591">
        <v>2.98</v>
      </c>
      <c r="X591">
        <v>0.21</v>
      </c>
      <c r="Y591">
        <v>1</v>
      </c>
      <c r="Z591">
        <v>10</v>
      </c>
    </row>
    <row r="592" spans="1:26" x14ac:dyDescent="0.3">
      <c r="A592">
        <v>41</v>
      </c>
      <c r="B592">
        <v>115</v>
      </c>
      <c r="C592" t="s">
        <v>26</v>
      </c>
      <c r="D592">
        <v>6.1877000000000004</v>
      </c>
      <c r="E592">
        <v>16.16</v>
      </c>
      <c r="F592">
        <v>12.97</v>
      </c>
      <c r="G592">
        <v>64.87</v>
      </c>
      <c r="H592">
        <v>0.83</v>
      </c>
      <c r="I592">
        <v>12</v>
      </c>
      <c r="J592">
        <v>240.4</v>
      </c>
      <c r="K592">
        <v>56.94</v>
      </c>
      <c r="L592">
        <v>11.25</v>
      </c>
      <c r="M592">
        <v>10</v>
      </c>
      <c r="N592">
        <v>57.21</v>
      </c>
      <c r="O592">
        <v>29883.27</v>
      </c>
      <c r="P592">
        <v>160.5</v>
      </c>
      <c r="Q592">
        <v>988.08</v>
      </c>
      <c r="R592">
        <v>44.48</v>
      </c>
      <c r="S592">
        <v>35.43</v>
      </c>
      <c r="T592">
        <v>3492.58</v>
      </c>
      <c r="U592">
        <v>0.8</v>
      </c>
      <c r="V592">
        <v>0.88</v>
      </c>
      <c r="W592">
        <v>2.99</v>
      </c>
      <c r="X592">
        <v>0.22</v>
      </c>
      <c r="Y592">
        <v>1</v>
      </c>
      <c r="Z592">
        <v>10</v>
      </c>
    </row>
    <row r="593" spans="1:26" x14ac:dyDescent="0.3">
      <c r="A593">
        <v>42</v>
      </c>
      <c r="B593">
        <v>115</v>
      </c>
      <c r="C593" t="s">
        <v>26</v>
      </c>
      <c r="D593">
        <v>6.2133000000000003</v>
      </c>
      <c r="E593">
        <v>16.09</v>
      </c>
      <c r="F593">
        <v>12.95</v>
      </c>
      <c r="G593">
        <v>70.64</v>
      </c>
      <c r="H593">
        <v>0.85</v>
      </c>
      <c r="I593">
        <v>11</v>
      </c>
      <c r="J593">
        <v>240.84</v>
      </c>
      <c r="K593">
        <v>56.94</v>
      </c>
      <c r="L593">
        <v>11.5</v>
      </c>
      <c r="M593">
        <v>9</v>
      </c>
      <c r="N593">
        <v>57.39</v>
      </c>
      <c r="O593">
        <v>29937.16</v>
      </c>
      <c r="P593">
        <v>159.18</v>
      </c>
      <c r="Q593">
        <v>988.08</v>
      </c>
      <c r="R593">
        <v>43.99</v>
      </c>
      <c r="S593">
        <v>35.43</v>
      </c>
      <c r="T593">
        <v>3249.4</v>
      </c>
      <c r="U593">
        <v>0.81</v>
      </c>
      <c r="V593">
        <v>0.88</v>
      </c>
      <c r="W593">
        <v>2.98</v>
      </c>
      <c r="X593">
        <v>0.2</v>
      </c>
      <c r="Y593">
        <v>1</v>
      </c>
      <c r="Z593">
        <v>10</v>
      </c>
    </row>
    <row r="594" spans="1:26" x14ac:dyDescent="0.3">
      <c r="A594">
        <v>43</v>
      </c>
      <c r="B594">
        <v>115</v>
      </c>
      <c r="C594" t="s">
        <v>26</v>
      </c>
      <c r="D594">
        <v>6.2153</v>
      </c>
      <c r="E594">
        <v>16.09</v>
      </c>
      <c r="F594">
        <v>12.95</v>
      </c>
      <c r="G594">
        <v>70.61</v>
      </c>
      <c r="H594">
        <v>0.87</v>
      </c>
      <c r="I594">
        <v>11</v>
      </c>
      <c r="J594">
        <v>241.27</v>
      </c>
      <c r="K594">
        <v>56.94</v>
      </c>
      <c r="L594">
        <v>11.75</v>
      </c>
      <c r="M594">
        <v>9</v>
      </c>
      <c r="N594">
        <v>57.58</v>
      </c>
      <c r="O594">
        <v>29991.11</v>
      </c>
      <c r="P594">
        <v>158.46</v>
      </c>
      <c r="Q594">
        <v>988.21</v>
      </c>
      <c r="R594">
        <v>43.73</v>
      </c>
      <c r="S594">
        <v>35.43</v>
      </c>
      <c r="T594">
        <v>3118.67</v>
      </c>
      <c r="U594">
        <v>0.81</v>
      </c>
      <c r="V594">
        <v>0.88</v>
      </c>
      <c r="W594">
        <v>2.98</v>
      </c>
      <c r="X594">
        <v>0.19</v>
      </c>
      <c r="Y594">
        <v>1</v>
      </c>
      <c r="Z594">
        <v>10</v>
      </c>
    </row>
    <row r="595" spans="1:26" x14ac:dyDescent="0.3">
      <c r="A595">
        <v>44</v>
      </c>
      <c r="B595">
        <v>115</v>
      </c>
      <c r="C595" t="s">
        <v>26</v>
      </c>
      <c r="D595">
        <v>6.2134999999999998</v>
      </c>
      <c r="E595">
        <v>16.09</v>
      </c>
      <c r="F595">
        <v>12.95</v>
      </c>
      <c r="G595">
        <v>70.64</v>
      </c>
      <c r="H595">
        <v>0.88</v>
      </c>
      <c r="I595">
        <v>11</v>
      </c>
      <c r="J595">
        <v>241.71</v>
      </c>
      <c r="K595">
        <v>56.94</v>
      </c>
      <c r="L595">
        <v>12</v>
      </c>
      <c r="M595">
        <v>9</v>
      </c>
      <c r="N595">
        <v>57.77</v>
      </c>
      <c r="O595">
        <v>30045.13</v>
      </c>
      <c r="P595">
        <v>157.29</v>
      </c>
      <c r="Q595">
        <v>988.08</v>
      </c>
      <c r="R595">
        <v>43.82</v>
      </c>
      <c r="S595">
        <v>35.43</v>
      </c>
      <c r="T595">
        <v>3164.45</v>
      </c>
      <c r="U595">
        <v>0.81</v>
      </c>
      <c r="V595">
        <v>0.88</v>
      </c>
      <c r="W595">
        <v>2.98</v>
      </c>
      <c r="X595">
        <v>0.2</v>
      </c>
      <c r="Y595">
        <v>1</v>
      </c>
      <c r="Z595">
        <v>10</v>
      </c>
    </row>
    <row r="596" spans="1:26" x14ac:dyDescent="0.3">
      <c r="A596">
        <v>45</v>
      </c>
      <c r="B596">
        <v>115</v>
      </c>
      <c r="C596" t="s">
        <v>26</v>
      </c>
      <c r="D596">
        <v>6.2144000000000004</v>
      </c>
      <c r="E596">
        <v>16.09</v>
      </c>
      <c r="F596">
        <v>12.95</v>
      </c>
      <c r="G596">
        <v>70.63</v>
      </c>
      <c r="H596">
        <v>0.9</v>
      </c>
      <c r="I596">
        <v>11</v>
      </c>
      <c r="J596">
        <v>242.15</v>
      </c>
      <c r="K596">
        <v>56.94</v>
      </c>
      <c r="L596">
        <v>12.25</v>
      </c>
      <c r="M596">
        <v>7</v>
      </c>
      <c r="N596">
        <v>57.96</v>
      </c>
      <c r="O596">
        <v>30099.23</v>
      </c>
      <c r="P596">
        <v>154.83000000000001</v>
      </c>
      <c r="Q596">
        <v>988.12</v>
      </c>
      <c r="R596">
        <v>43.76</v>
      </c>
      <c r="S596">
        <v>35.43</v>
      </c>
      <c r="T596">
        <v>3133.7</v>
      </c>
      <c r="U596">
        <v>0.81</v>
      </c>
      <c r="V596">
        <v>0.88</v>
      </c>
      <c r="W596">
        <v>2.98</v>
      </c>
      <c r="X596">
        <v>0.19</v>
      </c>
      <c r="Y596">
        <v>1</v>
      </c>
      <c r="Z596">
        <v>10</v>
      </c>
    </row>
    <row r="597" spans="1:26" x14ac:dyDescent="0.3">
      <c r="A597">
        <v>46</v>
      </c>
      <c r="B597">
        <v>115</v>
      </c>
      <c r="C597" t="s">
        <v>26</v>
      </c>
      <c r="D597">
        <v>6.2397</v>
      </c>
      <c r="E597">
        <v>16.03</v>
      </c>
      <c r="F597">
        <v>12.93</v>
      </c>
      <c r="G597">
        <v>77.56</v>
      </c>
      <c r="H597">
        <v>0.92</v>
      </c>
      <c r="I597">
        <v>10</v>
      </c>
      <c r="J597">
        <v>242.59</v>
      </c>
      <c r="K597">
        <v>56.94</v>
      </c>
      <c r="L597">
        <v>12.5</v>
      </c>
      <c r="M597">
        <v>5</v>
      </c>
      <c r="N597">
        <v>58.15</v>
      </c>
      <c r="O597">
        <v>30153.38</v>
      </c>
      <c r="P597">
        <v>154.30000000000001</v>
      </c>
      <c r="Q597">
        <v>988.11</v>
      </c>
      <c r="R597">
        <v>42.95</v>
      </c>
      <c r="S597">
        <v>35.43</v>
      </c>
      <c r="T597">
        <v>2736.46</v>
      </c>
      <c r="U597">
        <v>0.83</v>
      </c>
      <c r="V597">
        <v>0.88</v>
      </c>
      <c r="W597">
        <v>2.99</v>
      </c>
      <c r="X597">
        <v>0.17</v>
      </c>
      <c r="Y597">
        <v>1</v>
      </c>
      <c r="Z597">
        <v>10</v>
      </c>
    </row>
    <row r="598" spans="1:26" x14ac:dyDescent="0.3">
      <c r="A598">
        <v>47</v>
      </c>
      <c r="B598">
        <v>115</v>
      </c>
      <c r="C598" t="s">
        <v>26</v>
      </c>
      <c r="D598">
        <v>6.2371999999999996</v>
      </c>
      <c r="E598">
        <v>16.03</v>
      </c>
      <c r="F598">
        <v>12.93</v>
      </c>
      <c r="G598">
        <v>77.599999999999994</v>
      </c>
      <c r="H598">
        <v>0.93</v>
      </c>
      <c r="I598">
        <v>10</v>
      </c>
      <c r="J598">
        <v>243.03</v>
      </c>
      <c r="K598">
        <v>56.94</v>
      </c>
      <c r="L598">
        <v>12.75</v>
      </c>
      <c r="M598">
        <v>3</v>
      </c>
      <c r="N598">
        <v>58.34</v>
      </c>
      <c r="O598">
        <v>30207.61</v>
      </c>
      <c r="P598">
        <v>154.32</v>
      </c>
      <c r="Q598">
        <v>988.08</v>
      </c>
      <c r="R598">
        <v>43.12</v>
      </c>
      <c r="S598">
        <v>35.43</v>
      </c>
      <c r="T598">
        <v>2821.57</v>
      </c>
      <c r="U598">
        <v>0.82</v>
      </c>
      <c r="V598">
        <v>0.88</v>
      </c>
      <c r="W598">
        <v>2.99</v>
      </c>
      <c r="X598">
        <v>0.18</v>
      </c>
      <c r="Y598">
        <v>1</v>
      </c>
      <c r="Z598">
        <v>10</v>
      </c>
    </row>
    <row r="599" spans="1:26" x14ac:dyDescent="0.3">
      <c r="A599">
        <v>48</v>
      </c>
      <c r="B599">
        <v>115</v>
      </c>
      <c r="C599" t="s">
        <v>26</v>
      </c>
      <c r="D599">
        <v>6.2373000000000003</v>
      </c>
      <c r="E599">
        <v>16.03</v>
      </c>
      <c r="F599">
        <v>12.93</v>
      </c>
      <c r="G599">
        <v>77.599999999999994</v>
      </c>
      <c r="H599">
        <v>0.95</v>
      </c>
      <c r="I599">
        <v>10</v>
      </c>
      <c r="J599">
        <v>243.47</v>
      </c>
      <c r="K599">
        <v>56.94</v>
      </c>
      <c r="L599">
        <v>13</v>
      </c>
      <c r="M599">
        <v>2</v>
      </c>
      <c r="N599">
        <v>58.53</v>
      </c>
      <c r="O599">
        <v>30261.91</v>
      </c>
      <c r="P599">
        <v>154.54</v>
      </c>
      <c r="Q599">
        <v>988.08</v>
      </c>
      <c r="R599">
        <v>43.08</v>
      </c>
      <c r="S599">
        <v>35.43</v>
      </c>
      <c r="T599">
        <v>2800.81</v>
      </c>
      <c r="U599">
        <v>0.82</v>
      </c>
      <c r="V599">
        <v>0.88</v>
      </c>
      <c r="W599">
        <v>2.99</v>
      </c>
      <c r="X599">
        <v>0.18</v>
      </c>
      <c r="Y599">
        <v>1</v>
      </c>
      <c r="Z599">
        <v>10</v>
      </c>
    </row>
    <row r="600" spans="1:26" x14ac:dyDescent="0.3">
      <c r="A600">
        <v>49</v>
      </c>
      <c r="B600">
        <v>115</v>
      </c>
      <c r="C600" t="s">
        <v>26</v>
      </c>
      <c r="D600">
        <v>6.2347999999999999</v>
      </c>
      <c r="E600">
        <v>16.04</v>
      </c>
      <c r="F600">
        <v>12.94</v>
      </c>
      <c r="G600">
        <v>77.64</v>
      </c>
      <c r="H600">
        <v>0.97</v>
      </c>
      <c r="I600">
        <v>10</v>
      </c>
      <c r="J600">
        <v>243.91</v>
      </c>
      <c r="K600">
        <v>56.94</v>
      </c>
      <c r="L600">
        <v>13.25</v>
      </c>
      <c r="M600">
        <v>0</v>
      </c>
      <c r="N600">
        <v>58.72</v>
      </c>
      <c r="O600">
        <v>30316.27</v>
      </c>
      <c r="P600">
        <v>154.05000000000001</v>
      </c>
      <c r="Q600">
        <v>988.09</v>
      </c>
      <c r="R600">
        <v>43.36</v>
      </c>
      <c r="S600">
        <v>35.43</v>
      </c>
      <c r="T600">
        <v>2940.06</v>
      </c>
      <c r="U600">
        <v>0.82</v>
      </c>
      <c r="V600">
        <v>0.88</v>
      </c>
      <c r="W600">
        <v>2.99</v>
      </c>
      <c r="X600">
        <v>0.19</v>
      </c>
      <c r="Y600">
        <v>1</v>
      </c>
      <c r="Z600">
        <v>10</v>
      </c>
    </row>
    <row r="601" spans="1:26" x14ac:dyDescent="0.3">
      <c r="A601">
        <v>0</v>
      </c>
      <c r="B601">
        <v>35</v>
      </c>
      <c r="C601" t="s">
        <v>26</v>
      </c>
      <c r="D601">
        <v>5.7282000000000002</v>
      </c>
      <c r="E601">
        <v>17.46</v>
      </c>
      <c r="F601">
        <v>14.26</v>
      </c>
      <c r="G601">
        <v>11.26</v>
      </c>
      <c r="H601">
        <v>0.22</v>
      </c>
      <c r="I601">
        <v>76</v>
      </c>
      <c r="J601">
        <v>80.84</v>
      </c>
      <c r="K601">
        <v>35.1</v>
      </c>
      <c r="L601">
        <v>1</v>
      </c>
      <c r="M601">
        <v>74</v>
      </c>
      <c r="N601">
        <v>9.74</v>
      </c>
      <c r="O601">
        <v>10204.209999999999</v>
      </c>
      <c r="P601">
        <v>104.18</v>
      </c>
      <c r="Q601">
        <v>988.57</v>
      </c>
      <c r="R601">
        <v>84.64</v>
      </c>
      <c r="S601">
        <v>35.43</v>
      </c>
      <c r="T601">
        <v>23250.49</v>
      </c>
      <c r="U601">
        <v>0.42</v>
      </c>
      <c r="V601">
        <v>0.8</v>
      </c>
      <c r="W601">
        <v>3.08</v>
      </c>
      <c r="X601">
        <v>1.5</v>
      </c>
      <c r="Y601">
        <v>1</v>
      </c>
      <c r="Z601">
        <v>10</v>
      </c>
    </row>
    <row r="602" spans="1:26" x14ac:dyDescent="0.3">
      <c r="A602">
        <v>1</v>
      </c>
      <c r="B602">
        <v>35</v>
      </c>
      <c r="C602" t="s">
        <v>26</v>
      </c>
      <c r="D602">
        <v>5.9565999999999999</v>
      </c>
      <c r="E602">
        <v>16.79</v>
      </c>
      <c r="F602">
        <v>13.9</v>
      </c>
      <c r="G602">
        <v>14.38</v>
      </c>
      <c r="H602">
        <v>0.27</v>
      </c>
      <c r="I602">
        <v>58</v>
      </c>
      <c r="J602">
        <v>81.14</v>
      </c>
      <c r="K602">
        <v>35.1</v>
      </c>
      <c r="L602">
        <v>1.25</v>
      </c>
      <c r="M602">
        <v>56</v>
      </c>
      <c r="N602">
        <v>9.7899999999999991</v>
      </c>
      <c r="O602">
        <v>10241.25</v>
      </c>
      <c r="P602">
        <v>98.65</v>
      </c>
      <c r="Q602">
        <v>988.31</v>
      </c>
      <c r="R602">
        <v>73.569999999999993</v>
      </c>
      <c r="S602">
        <v>35.43</v>
      </c>
      <c r="T602">
        <v>17804.29</v>
      </c>
      <c r="U602">
        <v>0.48</v>
      </c>
      <c r="V602">
        <v>0.82</v>
      </c>
      <c r="W602">
        <v>3.05</v>
      </c>
      <c r="X602">
        <v>1.1399999999999999</v>
      </c>
      <c r="Y602">
        <v>1</v>
      </c>
      <c r="Z602">
        <v>10</v>
      </c>
    </row>
    <row r="603" spans="1:26" x14ac:dyDescent="0.3">
      <c r="A603">
        <v>2</v>
      </c>
      <c r="B603">
        <v>35</v>
      </c>
      <c r="C603" t="s">
        <v>26</v>
      </c>
      <c r="D603">
        <v>6.1189999999999998</v>
      </c>
      <c r="E603">
        <v>16.34</v>
      </c>
      <c r="F603">
        <v>13.66</v>
      </c>
      <c r="G603">
        <v>17.82</v>
      </c>
      <c r="H603">
        <v>0.32</v>
      </c>
      <c r="I603">
        <v>46</v>
      </c>
      <c r="J603">
        <v>81.44</v>
      </c>
      <c r="K603">
        <v>35.1</v>
      </c>
      <c r="L603">
        <v>1.5</v>
      </c>
      <c r="M603">
        <v>44</v>
      </c>
      <c r="N603">
        <v>9.84</v>
      </c>
      <c r="O603">
        <v>10278.32</v>
      </c>
      <c r="P603">
        <v>93.91</v>
      </c>
      <c r="Q603">
        <v>988.18</v>
      </c>
      <c r="R603">
        <v>65.430000000000007</v>
      </c>
      <c r="S603">
        <v>35.43</v>
      </c>
      <c r="T603">
        <v>13797.88</v>
      </c>
      <c r="U603">
        <v>0.54</v>
      </c>
      <c r="V603">
        <v>0.83</v>
      </c>
      <c r="W603">
        <v>3.05</v>
      </c>
      <c r="X603">
        <v>0.9</v>
      </c>
      <c r="Y603">
        <v>1</v>
      </c>
      <c r="Z603">
        <v>10</v>
      </c>
    </row>
    <row r="604" spans="1:26" x14ac:dyDescent="0.3">
      <c r="A604">
        <v>3</v>
      </c>
      <c r="B604">
        <v>35</v>
      </c>
      <c r="C604" t="s">
        <v>26</v>
      </c>
      <c r="D604">
        <v>6.2385000000000002</v>
      </c>
      <c r="E604">
        <v>16.03</v>
      </c>
      <c r="F604">
        <v>13.48</v>
      </c>
      <c r="G604">
        <v>21.29</v>
      </c>
      <c r="H604">
        <v>0.38</v>
      </c>
      <c r="I604">
        <v>38</v>
      </c>
      <c r="J604">
        <v>81.739999999999995</v>
      </c>
      <c r="K604">
        <v>35.1</v>
      </c>
      <c r="L604">
        <v>1.75</v>
      </c>
      <c r="M604">
        <v>36</v>
      </c>
      <c r="N604">
        <v>9.89</v>
      </c>
      <c r="O604">
        <v>10315.41</v>
      </c>
      <c r="P604">
        <v>89.6</v>
      </c>
      <c r="Q604">
        <v>988.22</v>
      </c>
      <c r="R604">
        <v>60.29</v>
      </c>
      <c r="S604">
        <v>35.43</v>
      </c>
      <c r="T604">
        <v>11266.15</v>
      </c>
      <c r="U604">
        <v>0.59</v>
      </c>
      <c r="V604">
        <v>0.85</v>
      </c>
      <c r="W604">
        <v>3.03</v>
      </c>
      <c r="X604">
        <v>0.73</v>
      </c>
      <c r="Y604">
        <v>1</v>
      </c>
      <c r="Z604">
        <v>10</v>
      </c>
    </row>
    <row r="605" spans="1:26" x14ac:dyDescent="0.3">
      <c r="A605">
        <v>4</v>
      </c>
      <c r="B605">
        <v>35</v>
      </c>
      <c r="C605" t="s">
        <v>26</v>
      </c>
      <c r="D605">
        <v>6.3219000000000003</v>
      </c>
      <c r="E605">
        <v>15.82</v>
      </c>
      <c r="F605">
        <v>13.38</v>
      </c>
      <c r="G605">
        <v>25.08</v>
      </c>
      <c r="H605">
        <v>0.43</v>
      </c>
      <c r="I605">
        <v>32</v>
      </c>
      <c r="J605">
        <v>82.04</v>
      </c>
      <c r="K605">
        <v>35.1</v>
      </c>
      <c r="L605">
        <v>2</v>
      </c>
      <c r="M605">
        <v>22</v>
      </c>
      <c r="N605">
        <v>9.94</v>
      </c>
      <c r="O605">
        <v>10352.530000000001</v>
      </c>
      <c r="P605">
        <v>85.67</v>
      </c>
      <c r="Q605">
        <v>988.14</v>
      </c>
      <c r="R605">
        <v>56.93</v>
      </c>
      <c r="S605">
        <v>35.43</v>
      </c>
      <c r="T605">
        <v>9617.5</v>
      </c>
      <c r="U605">
        <v>0.62</v>
      </c>
      <c r="V605">
        <v>0.85</v>
      </c>
      <c r="W605">
        <v>3.02</v>
      </c>
      <c r="X605">
        <v>0.62</v>
      </c>
      <c r="Y605">
        <v>1</v>
      </c>
      <c r="Z605">
        <v>10</v>
      </c>
    </row>
    <row r="606" spans="1:26" x14ac:dyDescent="0.3">
      <c r="A606">
        <v>5</v>
      </c>
      <c r="B606">
        <v>35</v>
      </c>
      <c r="C606" t="s">
        <v>26</v>
      </c>
      <c r="D606">
        <v>6.3404999999999996</v>
      </c>
      <c r="E606">
        <v>15.77</v>
      </c>
      <c r="F606">
        <v>13.36</v>
      </c>
      <c r="G606">
        <v>26.73</v>
      </c>
      <c r="H606">
        <v>0.48</v>
      </c>
      <c r="I606">
        <v>30</v>
      </c>
      <c r="J606">
        <v>82.34</v>
      </c>
      <c r="K606">
        <v>35.1</v>
      </c>
      <c r="L606">
        <v>2.25</v>
      </c>
      <c r="M606">
        <v>8</v>
      </c>
      <c r="N606">
        <v>9.99</v>
      </c>
      <c r="O606">
        <v>10389.66</v>
      </c>
      <c r="P606">
        <v>84.4</v>
      </c>
      <c r="Q606">
        <v>988.09</v>
      </c>
      <c r="R606">
        <v>55.86</v>
      </c>
      <c r="S606">
        <v>35.43</v>
      </c>
      <c r="T606">
        <v>9090.2900000000009</v>
      </c>
      <c r="U606">
        <v>0.63</v>
      </c>
      <c r="V606">
        <v>0.85</v>
      </c>
      <c r="W606">
        <v>3.04</v>
      </c>
      <c r="X606">
        <v>0.61</v>
      </c>
      <c r="Y606">
        <v>1</v>
      </c>
      <c r="Z606">
        <v>10</v>
      </c>
    </row>
    <row r="607" spans="1:26" x14ac:dyDescent="0.3">
      <c r="A607">
        <v>6</v>
      </c>
      <c r="B607">
        <v>35</v>
      </c>
      <c r="C607" t="s">
        <v>26</v>
      </c>
      <c r="D607">
        <v>6.3319999999999999</v>
      </c>
      <c r="E607">
        <v>15.79</v>
      </c>
      <c r="F607">
        <v>13.38</v>
      </c>
      <c r="G607">
        <v>26.77</v>
      </c>
      <c r="H607">
        <v>0.53</v>
      </c>
      <c r="I607">
        <v>30</v>
      </c>
      <c r="J607">
        <v>82.65</v>
      </c>
      <c r="K607">
        <v>35.1</v>
      </c>
      <c r="L607">
        <v>2.5</v>
      </c>
      <c r="M607">
        <v>1</v>
      </c>
      <c r="N607">
        <v>10.039999999999999</v>
      </c>
      <c r="O607">
        <v>10426.82</v>
      </c>
      <c r="P607">
        <v>84.61</v>
      </c>
      <c r="Q607">
        <v>988.15</v>
      </c>
      <c r="R607">
        <v>56.23</v>
      </c>
      <c r="S607">
        <v>35.43</v>
      </c>
      <c r="T607">
        <v>9278.51</v>
      </c>
      <c r="U607">
        <v>0.63</v>
      </c>
      <c r="V607">
        <v>0.85</v>
      </c>
      <c r="W607">
        <v>3.05</v>
      </c>
      <c r="X607">
        <v>0.63</v>
      </c>
      <c r="Y607">
        <v>1</v>
      </c>
      <c r="Z607">
        <v>10</v>
      </c>
    </row>
    <row r="608" spans="1:26" x14ac:dyDescent="0.3">
      <c r="A608">
        <v>7</v>
      </c>
      <c r="B608">
        <v>35</v>
      </c>
      <c r="C608" t="s">
        <v>26</v>
      </c>
      <c r="D608">
        <v>6.3319999999999999</v>
      </c>
      <c r="E608">
        <v>15.79</v>
      </c>
      <c r="F608">
        <v>13.38</v>
      </c>
      <c r="G608">
        <v>26.77</v>
      </c>
      <c r="H608">
        <v>0.57999999999999996</v>
      </c>
      <c r="I608">
        <v>30</v>
      </c>
      <c r="J608">
        <v>82.95</v>
      </c>
      <c r="K608">
        <v>35.1</v>
      </c>
      <c r="L608">
        <v>2.75</v>
      </c>
      <c r="M608">
        <v>0</v>
      </c>
      <c r="N608">
        <v>10.1</v>
      </c>
      <c r="O608">
        <v>10463.99</v>
      </c>
      <c r="P608">
        <v>84.83</v>
      </c>
      <c r="Q608">
        <v>988.15</v>
      </c>
      <c r="R608">
        <v>56.2</v>
      </c>
      <c r="S608">
        <v>35.43</v>
      </c>
      <c r="T608">
        <v>9263.51</v>
      </c>
      <c r="U608">
        <v>0.63</v>
      </c>
      <c r="V608">
        <v>0.85</v>
      </c>
      <c r="W608">
        <v>3.05</v>
      </c>
      <c r="X608">
        <v>0.63</v>
      </c>
      <c r="Y608">
        <v>1</v>
      </c>
      <c r="Z608">
        <v>10</v>
      </c>
    </row>
    <row r="609" spans="1:26" x14ac:dyDescent="0.3">
      <c r="A609">
        <v>0</v>
      </c>
      <c r="B609">
        <v>50</v>
      </c>
      <c r="C609" t="s">
        <v>26</v>
      </c>
      <c r="D609">
        <v>5.2777000000000003</v>
      </c>
      <c r="E609">
        <v>18.95</v>
      </c>
      <c r="F609">
        <v>14.73</v>
      </c>
      <c r="G609">
        <v>9.02</v>
      </c>
      <c r="H609">
        <v>0.16</v>
      </c>
      <c r="I609">
        <v>98</v>
      </c>
      <c r="J609">
        <v>107.41</v>
      </c>
      <c r="K609">
        <v>41.65</v>
      </c>
      <c r="L609">
        <v>1</v>
      </c>
      <c r="M609">
        <v>96</v>
      </c>
      <c r="N609">
        <v>14.77</v>
      </c>
      <c r="O609">
        <v>13481.73</v>
      </c>
      <c r="P609">
        <v>134.80000000000001</v>
      </c>
      <c r="Q609">
        <v>988.38</v>
      </c>
      <c r="R609">
        <v>98.95</v>
      </c>
      <c r="S609">
        <v>35.43</v>
      </c>
      <c r="T609">
        <v>30294.34</v>
      </c>
      <c r="U609">
        <v>0.36</v>
      </c>
      <c r="V609">
        <v>0.77</v>
      </c>
      <c r="W609">
        <v>3.13</v>
      </c>
      <c r="X609">
        <v>1.98</v>
      </c>
      <c r="Y609">
        <v>1</v>
      </c>
      <c r="Z609">
        <v>10</v>
      </c>
    </row>
    <row r="610" spans="1:26" x14ac:dyDescent="0.3">
      <c r="A610">
        <v>1</v>
      </c>
      <c r="B610">
        <v>50</v>
      </c>
      <c r="C610" t="s">
        <v>26</v>
      </c>
      <c r="D610">
        <v>5.5769000000000002</v>
      </c>
      <c r="E610">
        <v>17.93</v>
      </c>
      <c r="F610">
        <v>14.23</v>
      </c>
      <c r="G610">
        <v>11.38</v>
      </c>
      <c r="H610">
        <v>0.2</v>
      </c>
      <c r="I610">
        <v>75</v>
      </c>
      <c r="J610">
        <v>107.73</v>
      </c>
      <c r="K610">
        <v>41.65</v>
      </c>
      <c r="L610">
        <v>1.25</v>
      </c>
      <c r="M610">
        <v>73</v>
      </c>
      <c r="N610">
        <v>14.83</v>
      </c>
      <c r="O610">
        <v>13520.81</v>
      </c>
      <c r="P610">
        <v>128.21</v>
      </c>
      <c r="Q610">
        <v>988.31</v>
      </c>
      <c r="R610">
        <v>83.48</v>
      </c>
      <c r="S610">
        <v>35.43</v>
      </c>
      <c r="T610">
        <v>22677.02</v>
      </c>
      <c r="U610">
        <v>0.42</v>
      </c>
      <c r="V610">
        <v>0.8</v>
      </c>
      <c r="W610">
        <v>3.09</v>
      </c>
      <c r="X610">
        <v>1.47</v>
      </c>
      <c r="Y610">
        <v>1</v>
      </c>
      <c r="Z610">
        <v>10</v>
      </c>
    </row>
    <row r="611" spans="1:26" x14ac:dyDescent="0.3">
      <c r="A611">
        <v>2</v>
      </c>
      <c r="B611">
        <v>50</v>
      </c>
      <c r="C611" t="s">
        <v>26</v>
      </c>
      <c r="D611">
        <v>5.7816999999999998</v>
      </c>
      <c r="E611">
        <v>17.3</v>
      </c>
      <c r="F611">
        <v>13.93</v>
      </c>
      <c r="G611">
        <v>13.93</v>
      </c>
      <c r="H611">
        <v>0.24</v>
      </c>
      <c r="I611">
        <v>60</v>
      </c>
      <c r="J611">
        <v>108.05</v>
      </c>
      <c r="K611">
        <v>41.65</v>
      </c>
      <c r="L611">
        <v>1.5</v>
      </c>
      <c r="M611">
        <v>58</v>
      </c>
      <c r="N611">
        <v>14.9</v>
      </c>
      <c r="O611">
        <v>13559.91</v>
      </c>
      <c r="P611">
        <v>123.64</v>
      </c>
      <c r="Q611">
        <v>988.43</v>
      </c>
      <c r="R611">
        <v>74.209999999999994</v>
      </c>
      <c r="S611">
        <v>35.43</v>
      </c>
      <c r="T611">
        <v>18116.72</v>
      </c>
      <c r="U611">
        <v>0.48</v>
      </c>
      <c r="V611">
        <v>0.82</v>
      </c>
      <c r="W611">
        <v>3.06</v>
      </c>
      <c r="X611">
        <v>1.17</v>
      </c>
      <c r="Y611">
        <v>1</v>
      </c>
      <c r="Z611">
        <v>10</v>
      </c>
    </row>
    <row r="612" spans="1:26" x14ac:dyDescent="0.3">
      <c r="A612">
        <v>3</v>
      </c>
      <c r="B612">
        <v>50</v>
      </c>
      <c r="C612" t="s">
        <v>26</v>
      </c>
      <c r="D612">
        <v>5.9032</v>
      </c>
      <c r="E612">
        <v>16.940000000000001</v>
      </c>
      <c r="F612">
        <v>13.77</v>
      </c>
      <c r="G612">
        <v>16.2</v>
      </c>
      <c r="H612">
        <v>0.28000000000000003</v>
      </c>
      <c r="I612">
        <v>51</v>
      </c>
      <c r="J612">
        <v>108.37</v>
      </c>
      <c r="K612">
        <v>41.65</v>
      </c>
      <c r="L612">
        <v>1.75</v>
      </c>
      <c r="M612">
        <v>49</v>
      </c>
      <c r="N612">
        <v>14.97</v>
      </c>
      <c r="O612">
        <v>13599.17</v>
      </c>
      <c r="P612">
        <v>120.16</v>
      </c>
      <c r="Q612">
        <v>988.24</v>
      </c>
      <c r="R612">
        <v>69.48</v>
      </c>
      <c r="S612">
        <v>35.43</v>
      </c>
      <c r="T612">
        <v>15797.23</v>
      </c>
      <c r="U612">
        <v>0.51</v>
      </c>
      <c r="V612">
        <v>0.83</v>
      </c>
      <c r="W612">
        <v>3.05</v>
      </c>
      <c r="X612">
        <v>1.02</v>
      </c>
      <c r="Y612">
        <v>1</v>
      </c>
      <c r="Z612">
        <v>10</v>
      </c>
    </row>
    <row r="613" spans="1:26" x14ac:dyDescent="0.3">
      <c r="A613">
        <v>4</v>
      </c>
      <c r="B613">
        <v>50</v>
      </c>
      <c r="C613" t="s">
        <v>26</v>
      </c>
      <c r="D613">
        <v>6.0303000000000004</v>
      </c>
      <c r="E613">
        <v>16.579999999999998</v>
      </c>
      <c r="F613">
        <v>13.59</v>
      </c>
      <c r="G613">
        <v>18.96</v>
      </c>
      <c r="H613">
        <v>0.32</v>
      </c>
      <c r="I613">
        <v>43</v>
      </c>
      <c r="J613">
        <v>108.68</v>
      </c>
      <c r="K613">
        <v>41.65</v>
      </c>
      <c r="L613">
        <v>2</v>
      </c>
      <c r="M613">
        <v>41</v>
      </c>
      <c r="N613">
        <v>15.03</v>
      </c>
      <c r="O613">
        <v>13638.32</v>
      </c>
      <c r="P613">
        <v>116.45</v>
      </c>
      <c r="Q613">
        <v>988.19</v>
      </c>
      <c r="R613">
        <v>63.81</v>
      </c>
      <c r="S613">
        <v>35.43</v>
      </c>
      <c r="T613">
        <v>13001.98</v>
      </c>
      <c r="U613">
        <v>0.56000000000000005</v>
      </c>
      <c r="V613">
        <v>0.84</v>
      </c>
      <c r="W613">
        <v>3.03</v>
      </c>
      <c r="X613">
        <v>0.84</v>
      </c>
      <c r="Y613">
        <v>1</v>
      </c>
      <c r="Z613">
        <v>10</v>
      </c>
    </row>
    <row r="614" spans="1:26" x14ac:dyDescent="0.3">
      <c r="A614">
        <v>5</v>
      </c>
      <c r="B614">
        <v>50</v>
      </c>
      <c r="C614" t="s">
        <v>26</v>
      </c>
      <c r="D614">
        <v>6.1196000000000002</v>
      </c>
      <c r="E614">
        <v>16.34</v>
      </c>
      <c r="F614">
        <v>13.48</v>
      </c>
      <c r="G614">
        <v>21.86</v>
      </c>
      <c r="H614">
        <v>0.36</v>
      </c>
      <c r="I614">
        <v>37</v>
      </c>
      <c r="J614">
        <v>109</v>
      </c>
      <c r="K614">
        <v>41.65</v>
      </c>
      <c r="L614">
        <v>2.25</v>
      </c>
      <c r="M614">
        <v>35</v>
      </c>
      <c r="N614">
        <v>15.1</v>
      </c>
      <c r="O614">
        <v>13677.51</v>
      </c>
      <c r="P614">
        <v>113.29</v>
      </c>
      <c r="Q614">
        <v>988.14</v>
      </c>
      <c r="R614">
        <v>60.27</v>
      </c>
      <c r="S614">
        <v>35.43</v>
      </c>
      <c r="T614">
        <v>11260.52</v>
      </c>
      <c r="U614">
        <v>0.59</v>
      </c>
      <c r="V614">
        <v>0.85</v>
      </c>
      <c r="W614">
        <v>3.03</v>
      </c>
      <c r="X614">
        <v>0.73</v>
      </c>
      <c r="Y614">
        <v>1</v>
      </c>
      <c r="Z614">
        <v>10</v>
      </c>
    </row>
    <row r="615" spans="1:26" x14ac:dyDescent="0.3">
      <c r="A615">
        <v>6</v>
      </c>
      <c r="B615">
        <v>50</v>
      </c>
      <c r="C615" t="s">
        <v>26</v>
      </c>
      <c r="D615">
        <v>6.1845999999999997</v>
      </c>
      <c r="E615">
        <v>16.170000000000002</v>
      </c>
      <c r="F615">
        <v>13.4</v>
      </c>
      <c r="G615">
        <v>24.36</v>
      </c>
      <c r="H615">
        <v>0.4</v>
      </c>
      <c r="I615">
        <v>33</v>
      </c>
      <c r="J615">
        <v>109.32</v>
      </c>
      <c r="K615">
        <v>41.65</v>
      </c>
      <c r="L615">
        <v>2.5</v>
      </c>
      <c r="M615">
        <v>31</v>
      </c>
      <c r="N615">
        <v>15.17</v>
      </c>
      <c r="O615">
        <v>13716.72</v>
      </c>
      <c r="P615">
        <v>110.46</v>
      </c>
      <c r="Q615">
        <v>988.15</v>
      </c>
      <c r="R615">
        <v>57.55</v>
      </c>
      <c r="S615">
        <v>35.43</v>
      </c>
      <c r="T615">
        <v>9922.43</v>
      </c>
      <c r="U615">
        <v>0.62</v>
      </c>
      <c r="V615">
        <v>0.85</v>
      </c>
      <c r="W615">
        <v>3.03</v>
      </c>
      <c r="X615">
        <v>0.65</v>
      </c>
      <c r="Y615">
        <v>1</v>
      </c>
      <c r="Z615">
        <v>10</v>
      </c>
    </row>
    <row r="616" spans="1:26" x14ac:dyDescent="0.3">
      <c r="A616">
        <v>7</v>
      </c>
      <c r="B616">
        <v>50</v>
      </c>
      <c r="C616" t="s">
        <v>26</v>
      </c>
      <c r="D616">
        <v>6.2564000000000002</v>
      </c>
      <c r="E616">
        <v>15.98</v>
      </c>
      <c r="F616">
        <v>13.3</v>
      </c>
      <c r="G616">
        <v>27.52</v>
      </c>
      <c r="H616">
        <v>0.44</v>
      </c>
      <c r="I616">
        <v>29</v>
      </c>
      <c r="J616">
        <v>109.64</v>
      </c>
      <c r="K616">
        <v>41.65</v>
      </c>
      <c r="L616">
        <v>2.75</v>
      </c>
      <c r="M616">
        <v>27</v>
      </c>
      <c r="N616">
        <v>15.24</v>
      </c>
      <c r="O616">
        <v>13755.95</v>
      </c>
      <c r="P616">
        <v>107.25</v>
      </c>
      <c r="Q616">
        <v>988.2</v>
      </c>
      <c r="R616">
        <v>54.92</v>
      </c>
      <c r="S616">
        <v>35.43</v>
      </c>
      <c r="T616">
        <v>8627.91</v>
      </c>
      <c r="U616">
        <v>0.65</v>
      </c>
      <c r="V616">
        <v>0.86</v>
      </c>
      <c r="W616">
        <v>3.01</v>
      </c>
      <c r="X616">
        <v>0.55000000000000004</v>
      </c>
      <c r="Y616">
        <v>1</v>
      </c>
      <c r="Z616">
        <v>10</v>
      </c>
    </row>
    <row r="617" spans="1:26" x14ac:dyDescent="0.3">
      <c r="A617">
        <v>8</v>
      </c>
      <c r="B617">
        <v>50</v>
      </c>
      <c r="C617" t="s">
        <v>26</v>
      </c>
      <c r="D617">
        <v>6.3018999999999998</v>
      </c>
      <c r="E617">
        <v>15.87</v>
      </c>
      <c r="F617">
        <v>13.25</v>
      </c>
      <c r="G617">
        <v>30.59</v>
      </c>
      <c r="H617">
        <v>0.48</v>
      </c>
      <c r="I617">
        <v>26</v>
      </c>
      <c r="J617">
        <v>109.96</v>
      </c>
      <c r="K617">
        <v>41.65</v>
      </c>
      <c r="L617">
        <v>3</v>
      </c>
      <c r="M617">
        <v>24</v>
      </c>
      <c r="N617">
        <v>15.31</v>
      </c>
      <c r="O617">
        <v>13795.21</v>
      </c>
      <c r="P617">
        <v>104.3</v>
      </c>
      <c r="Q617">
        <v>988.08</v>
      </c>
      <c r="R617">
        <v>53.29</v>
      </c>
      <c r="S617">
        <v>35.43</v>
      </c>
      <c r="T617">
        <v>7825.64</v>
      </c>
      <c r="U617">
        <v>0.66</v>
      </c>
      <c r="V617">
        <v>0.86</v>
      </c>
      <c r="W617">
        <v>3.01</v>
      </c>
      <c r="X617">
        <v>0.5</v>
      </c>
      <c r="Y617">
        <v>1</v>
      </c>
      <c r="Z617">
        <v>10</v>
      </c>
    </row>
    <row r="618" spans="1:26" x14ac:dyDescent="0.3">
      <c r="A618">
        <v>9</v>
      </c>
      <c r="B618">
        <v>50</v>
      </c>
      <c r="C618" t="s">
        <v>26</v>
      </c>
      <c r="D618">
        <v>6.34</v>
      </c>
      <c r="E618">
        <v>15.77</v>
      </c>
      <c r="F618">
        <v>13.2</v>
      </c>
      <c r="G618">
        <v>33.01</v>
      </c>
      <c r="H618">
        <v>0.52</v>
      </c>
      <c r="I618">
        <v>24</v>
      </c>
      <c r="J618">
        <v>110.27</v>
      </c>
      <c r="K618">
        <v>41.65</v>
      </c>
      <c r="L618">
        <v>3.25</v>
      </c>
      <c r="M618">
        <v>19</v>
      </c>
      <c r="N618">
        <v>15.37</v>
      </c>
      <c r="O618">
        <v>13834.5</v>
      </c>
      <c r="P618">
        <v>101.85</v>
      </c>
      <c r="Q618">
        <v>988.1</v>
      </c>
      <c r="R618">
        <v>51.51</v>
      </c>
      <c r="S618">
        <v>35.43</v>
      </c>
      <c r="T618">
        <v>6945.96</v>
      </c>
      <c r="U618">
        <v>0.69</v>
      </c>
      <c r="V618">
        <v>0.86</v>
      </c>
      <c r="W618">
        <v>3.01</v>
      </c>
      <c r="X618">
        <v>0.45</v>
      </c>
      <c r="Y618">
        <v>1</v>
      </c>
      <c r="Z618">
        <v>10</v>
      </c>
    </row>
    <row r="619" spans="1:26" x14ac:dyDescent="0.3">
      <c r="A619">
        <v>10</v>
      </c>
      <c r="B619">
        <v>50</v>
      </c>
      <c r="C619" t="s">
        <v>26</v>
      </c>
      <c r="D619">
        <v>6.3676000000000004</v>
      </c>
      <c r="E619">
        <v>15.7</v>
      </c>
      <c r="F619">
        <v>13.18</v>
      </c>
      <c r="G619">
        <v>35.94</v>
      </c>
      <c r="H619">
        <v>0.56000000000000005</v>
      </c>
      <c r="I619">
        <v>22</v>
      </c>
      <c r="J619">
        <v>110.59</v>
      </c>
      <c r="K619">
        <v>41.65</v>
      </c>
      <c r="L619">
        <v>3.5</v>
      </c>
      <c r="M619">
        <v>11</v>
      </c>
      <c r="N619">
        <v>15.44</v>
      </c>
      <c r="O619">
        <v>13873.81</v>
      </c>
      <c r="P619">
        <v>99.85</v>
      </c>
      <c r="Q619">
        <v>988.33</v>
      </c>
      <c r="R619">
        <v>50.61</v>
      </c>
      <c r="S619">
        <v>35.43</v>
      </c>
      <c r="T619">
        <v>6503.84</v>
      </c>
      <c r="U619">
        <v>0.7</v>
      </c>
      <c r="V619">
        <v>0.86</v>
      </c>
      <c r="W619">
        <v>3.01</v>
      </c>
      <c r="X619">
        <v>0.42</v>
      </c>
      <c r="Y619">
        <v>1</v>
      </c>
      <c r="Z619">
        <v>10</v>
      </c>
    </row>
    <row r="620" spans="1:26" x14ac:dyDescent="0.3">
      <c r="A620">
        <v>11</v>
      </c>
      <c r="B620">
        <v>50</v>
      </c>
      <c r="C620" t="s">
        <v>26</v>
      </c>
      <c r="D620">
        <v>6.3625999999999996</v>
      </c>
      <c r="E620">
        <v>15.72</v>
      </c>
      <c r="F620">
        <v>13.19</v>
      </c>
      <c r="G620">
        <v>35.979999999999997</v>
      </c>
      <c r="H620">
        <v>0.6</v>
      </c>
      <c r="I620">
        <v>22</v>
      </c>
      <c r="J620">
        <v>110.91</v>
      </c>
      <c r="K620">
        <v>41.65</v>
      </c>
      <c r="L620">
        <v>3.75</v>
      </c>
      <c r="M620">
        <v>5</v>
      </c>
      <c r="N620">
        <v>15.51</v>
      </c>
      <c r="O620">
        <v>13913.15</v>
      </c>
      <c r="P620">
        <v>99.28</v>
      </c>
      <c r="Q620">
        <v>988.15</v>
      </c>
      <c r="R620">
        <v>50.64</v>
      </c>
      <c r="S620">
        <v>35.43</v>
      </c>
      <c r="T620">
        <v>6519.6</v>
      </c>
      <c r="U620">
        <v>0.7</v>
      </c>
      <c r="V620">
        <v>0.86</v>
      </c>
      <c r="W620">
        <v>3.02</v>
      </c>
      <c r="X620">
        <v>0.44</v>
      </c>
      <c r="Y620">
        <v>1</v>
      </c>
      <c r="Z620">
        <v>10</v>
      </c>
    </row>
    <row r="621" spans="1:26" x14ac:dyDescent="0.3">
      <c r="A621">
        <v>12</v>
      </c>
      <c r="B621">
        <v>50</v>
      </c>
      <c r="C621" t="s">
        <v>26</v>
      </c>
      <c r="D621">
        <v>6.3808999999999996</v>
      </c>
      <c r="E621">
        <v>15.67</v>
      </c>
      <c r="F621">
        <v>13.17</v>
      </c>
      <c r="G621">
        <v>37.630000000000003</v>
      </c>
      <c r="H621">
        <v>0.63</v>
      </c>
      <c r="I621">
        <v>21</v>
      </c>
      <c r="J621">
        <v>111.23</v>
      </c>
      <c r="K621">
        <v>41.65</v>
      </c>
      <c r="L621">
        <v>4</v>
      </c>
      <c r="M621">
        <v>1</v>
      </c>
      <c r="N621">
        <v>15.58</v>
      </c>
      <c r="O621">
        <v>13952.52</v>
      </c>
      <c r="P621">
        <v>99.3</v>
      </c>
      <c r="Q621">
        <v>988.19</v>
      </c>
      <c r="R621">
        <v>50.03</v>
      </c>
      <c r="S621">
        <v>35.43</v>
      </c>
      <c r="T621">
        <v>6221.55</v>
      </c>
      <c r="U621">
        <v>0.71</v>
      </c>
      <c r="V621">
        <v>0.87</v>
      </c>
      <c r="W621">
        <v>3.02</v>
      </c>
      <c r="X621">
        <v>0.41</v>
      </c>
      <c r="Y621">
        <v>1</v>
      </c>
      <c r="Z621">
        <v>10</v>
      </c>
    </row>
    <row r="622" spans="1:26" x14ac:dyDescent="0.3">
      <c r="A622">
        <v>13</v>
      </c>
      <c r="B622">
        <v>50</v>
      </c>
      <c r="C622" t="s">
        <v>26</v>
      </c>
      <c r="D622">
        <v>6.3806000000000003</v>
      </c>
      <c r="E622">
        <v>15.67</v>
      </c>
      <c r="F622">
        <v>13.17</v>
      </c>
      <c r="G622">
        <v>37.630000000000003</v>
      </c>
      <c r="H622">
        <v>0.67</v>
      </c>
      <c r="I622">
        <v>21</v>
      </c>
      <c r="J622">
        <v>111.55</v>
      </c>
      <c r="K622">
        <v>41.65</v>
      </c>
      <c r="L622">
        <v>4.25</v>
      </c>
      <c r="M622">
        <v>0</v>
      </c>
      <c r="N622">
        <v>15.65</v>
      </c>
      <c r="O622">
        <v>13991.91</v>
      </c>
      <c r="P622">
        <v>99.49</v>
      </c>
      <c r="Q622">
        <v>988.23</v>
      </c>
      <c r="R622">
        <v>49.98</v>
      </c>
      <c r="S622">
        <v>35.43</v>
      </c>
      <c r="T622">
        <v>6196.77</v>
      </c>
      <c r="U622">
        <v>0.71</v>
      </c>
      <c r="V622">
        <v>0.87</v>
      </c>
      <c r="W622">
        <v>3.02</v>
      </c>
      <c r="X622">
        <v>0.42</v>
      </c>
      <c r="Y622">
        <v>1</v>
      </c>
      <c r="Z622">
        <v>10</v>
      </c>
    </row>
    <row r="623" spans="1:26" x14ac:dyDescent="0.3">
      <c r="A623">
        <v>0</v>
      </c>
      <c r="B623">
        <v>25</v>
      </c>
      <c r="C623" t="s">
        <v>26</v>
      </c>
      <c r="D623">
        <v>6.0580999999999996</v>
      </c>
      <c r="E623">
        <v>16.510000000000002</v>
      </c>
      <c r="F623">
        <v>13.91</v>
      </c>
      <c r="G623">
        <v>14.39</v>
      </c>
      <c r="H623">
        <v>0.28000000000000003</v>
      </c>
      <c r="I623">
        <v>58</v>
      </c>
      <c r="J623">
        <v>61.76</v>
      </c>
      <c r="K623">
        <v>28.92</v>
      </c>
      <c r="L623">
        <v>1</v>
      </c>
      <c r="M623">
        <v>56</v>
      </c>
      <c r="N623">
        <v>6.84</v>
      </c>
      <c r="O623">
        <v>7851.41</v>
      </c>
      <c r="P623">
        <v>78.69</v>
      </c>
      <c r="Q623">
        <v>988.22</v>
      </c>
      <c r="R623">
        <v>73.59</v>
      </c>
      <c r="S623">
        <v>35.43</v>
      </c>
      <c r="T623">
        <v>17815.61</v>
      </c>
      <c r="U623">
        <v>0.48</v>
      </c>
      <c r="V623">
        <v>0.82</v>
      </c>
      <c r="W623">
        <v>3.06</v>
      </c>
      <c r="X623">
        <v>1.1499999999999999</v>
      </c>
      <c r="Y623">
        <v>1</v>
      </c>
      <c r="Z623">
        <v>10</v>
      </c>
    </row>
    <row r="624" spans="1:26" x14ac:dyDescent="0.3">
      <c r="A624">
        <v>1</v>
      </c>
      <c r="B624">
        <v>25</v>
      </c>
      <c r="C624" t="s">
        <v>26</v>
      </c>
      <c r="D624">
        <v>6.2337999999999996</v>
      </c>
      <c r="E624">
        <v>16.04</v>
      </c>
      <c r="F624">
        <v>13.63</v>
      </c>
      <c r="G624">
        <v>18.59</v>
      </c>
      <c r="H624">
        <v>0.35</v>
      </c>
      <c r="I624">
        <v>44</v>
      </c>
      <c r="J624">
        <v>62.05</v>
      </c>
      <c r="K624">
        <v>28.92</v>
      </c>
      <c r="L624">
        <v>1.25</v>
      </c>
      <c r="M624">
        <v>28</v>
      </c>
      <c r="N624">
        <v>6.88</v>
      </c>
      <c r="O624">
        <v>7887.12</v>
      </c>
      <c r="P624">
        <v>73.489999999999995</v>
      </c>
      <c r="Q624">
        <v>988.22</v>
      </c>
      <c r="R624">
        <v>64.459999999999994</v>
      </c>
      <c r="S624">
        <v>35.43</v>
      </c>
      <c r="T624">
        <v>13320.04</v>
      </c>
      <c r="U624">
        <v>0.55000000000000004</v>
      </c>
      <c r="V624">
        <v>0.84</v>
      </c>
      <c r="W624">
        <v>3.06</v>
      </c>
      <c r="X624">
        <v>0.88</v>
      </c>
      <c r="Y624">
        <v>1</v>
      </c>
      <c r="Z624">
        <v>10</v>
      </c>
    </row>
    <row r="625" spans="1:26" x14ac:dyDescent="0.3">
      <c r="A625">
        <v>2</v>
      </c>
      <c r="B625">
        <v>25</v>
      </c>
      <c r="C625" t="s">
        <v>26</v>
      </c>
      <c r="D625">
        <v>6.2664999999999997</v>
      </c>
      <c r="E625">
        <v>15.96</v>
      </c>
      <c r="F625">
        <v>13.59</v>
      </c>
      <c r="G625">
        <v>19.89</v>
      </c>
      <c r="H625">
        <v>0.42</v>
      </c>
      <c r="I625">
        <v>41</v>
      </c>
      <c r="J625">
        <v>62.34</v>
      </c>
      <c r="K625">
        <v>28.92</v>
      </c>
      <c r="L625">
        <v>1.5</v>
      </c>
      <c r="M625">
        <v>4</v>
      </c>
      <c r="N625">
        <v>6.92</v>
      </c>
      <c r="O625">
        <v>7922.85</v>
      </c>
      <c r="P625">
        <v>72.48</v>
      </c>
      <c r="Q625">
        <v>988.29</v>
      </c>
      <c r="R625">
        <v>62.47</v>
      </c>
      <c r="S625">
        <v>35.43</v>
      </c>
      <c r="T625">
        <v>12342.88</v>
      </c>
      <c r="U625">
        <v>0.56999999999999995</v>
      </c>
      <c r="V625">
        <v>0.84</v>
      </c>
      <c r="W625">
        <v>3.07</v>
      </c>
      <c r="X625">
        <v>0.84</v>
      </c>
      <c r="Y625">
        <v>1</v>
      </c>
      <c r="Z625">
        <v>10</v>
      </c>
    </row>
    <row r="626" spans="1:26" x14ac:dyDescent="0.3">
      <c r="A626">
        <v>3</v>
      </c>
      <c r="B626">
        <v>25</v>
      </c>
      <c r="C626" t="s">
        <v>26</v>
      </c>
      <c r="D626">
        <v>6.2640000000000002</v>
      </c>
      <c r="E626">
        <v>15.96</v>
      </c>
      <c r="F626">
        <v>13.6</v>
      </c>
      <c r="G626">
        <v>19.899999999999999</v>
      </c>
      <c r="H626">
        <v>0.49</v>
      </c>
      <c r="I626">
        <v>41</v>
      </c>
      <c r="J626">
        <v>62.63</v>
      </c>
      <c r="K626">
        <v>28.92</v>
      </c>
      <c r="L626">
        <v>1.75</v>
      </c>
      <c r="M626">
        <v>0</v>
      </c>
      <c r="N626">
        <v>6.96</v>
      </c>
      <c r="O626">
        <v>7958.6</v>
      </c>
      <c r="P626">
        <v>72.87</v>
      </c>
      <c r="Q626">
        <v>988.42</v>
      </c>
      <c r="R626">
        <v>62.36</v>
      </c>
      <c r="S626">
        <v>35.43</v>
      </c>
      <c r="T626">
        <v>12287.45</v>
      </c>
      <c r="U626">
        <v>0.56999999999999995</v>
      </c>
      <c r="V626">
        <v>0.84</v>
      </c>
      <c r="W626">
        <v>3.08</v>
      </c>
      <c r="X626">
        <v>0.84</v>
      </c>
      <c r="Y626">
        <v>1</v>
      </c>
      <c r="Z626">
        <v>10</v>
      </c>
    </row>
    <row r="627" spans="1:26" x14ac:dyDescent="0.3">
      <c r="A627">
        <v>0</v>
      </c>
      <c r="B627">
        <v>85</v>
      </c>
      <c r="C627" t="s">
        <v>26</v>
      </c>
      <c r="D627">
        <v>4.3773</v>
      </c>
      <c r="E627">
        <v>22.85</v>
      </c>
      <c r="F627">
        <v>15.66</v>
      </c>
      <c r="G627">
        <v>6.62</v>
      </c>
      <c r="H627">
        <v>0.11</v>
      </c>
      <c r="I627">
        <v>142</v>
      </c>
      <c r="J627">
        <v>167.88</v>
      </c>
      <c r="K627">
        <v>51.39</v>
      </c>
      <c r="L627">
        <v>1</v>
      </c>
      <c r="M627">
        <v>140</v>
      </c>
      <c r="N627">
        <v>30.49</v>
      </c>
      <c r="O627">
        <v>20939.59</v>
      </c>
      <c r="P627">
        <v>196.86</v>
      </c>
      <c r="Q627">
        <v>988.44</v>
      </c>
      <c r="R627">
        <v>127.81</v>
      </c>
      <c r="S627">
        <v>35.43</v>
      </c>
      <c r="T627">
        <v>44506.32</v>
      </c>
      <c r="U627">
        <v>0.28000000000000003</v>
      </c>
      <c r="V627">
        <v>0.73</v>
      </c>
      <c r="W627">
        <v>3.21</v>
      </c>
      <c r="X627">
        <v>2.9</v>
      </c>
      <c r="Y627">
        <v>1</v>
      </c>
      <c r="Z627">
        <v>10</v>
      </c>
    </row>
    <row r="628" spans="1:26" x14ac:dyDescent="0.3">
      <c r="A628">
        <v>1</v>
      </c>
      <c r="B628">
        <v>85</v>
      </c>
      <c r="C628" t="s">
        <v>26</v>
      </c>
      <c r="D628">
        <v>4.7660999999999998</v>
      </c>
      <c r="E628">
        <v>20.98</v>
      </c>
      <c r="F628">
        <v>14.95</v>
      </c>
      <c r="G628">
        <v>8.3000000000000007</v>
      </c>
      <c r="H628">
        <v>0.13</v>
      </c>
      <c r="I628">
        <v>108</v>
      </c>
      <c r="J628">
        <v>168.25</v>
      </c>
      <c r="K628">
        <v>51.39</v>
      </c>
      <c r="L628">
        <v>1.25</v>
      </c>
      <c r="M628">
        <v>106</v>
      </c>
      <c r="N628">
        <v>30.6</v>
      </c>
      <c r="O628">
        <v>20984.25</v>
      </c>
      <c r="P628">
        <v>186.7</v>
      </c>
      <c r="Q628">
        <v>988.6</v>
      </c>
      <c r="R628">
        <v>105.51</v>
      </c>
      <c r="S628">
        <v>35.43</v>
      </c>
      <c r="T628">
        <v>33526.239999999998</v>
      </c>
      <c r="U628">
        <v>0.34</v>
      </c>
      <c r="V628">
        <v>0.76</v>
      </c>
      <c r="W628">
        <v>3.16</v>
      </c>
      <c r="X628">
        <v>2.19</v>
      </c>
      <c r="Y628">
        <v>1</v>
      </c>
      <c r="Z628">
        <v>10</v>
      </c>
    </row>
    <row r="629" spans="1:26" x14ac:dyDescent="0.3">
      <c r="A629">
        <v>2</v>
      </c>
      <c r="B629">
        <v>85</v>
      </c>
      <c r="C629" t="s">
        <v>26</v>
      </c>
      <c r="D629">
        <v>5.0465999999999998</v>
      </c>
      <c r="E629">
        <v>19.82</v>
      </c>
      <c r="F629">
        <v>14.49</v>
      </c>
      <c r="G629">
        <v>10</v>
      </c>
      <c r="H629">
        <v>0.16</v>
      </c>
      <c r="I629">
        <v>87</v>
      </c>
      <c r="J629">
        <v>168.61</v>
      </c>
      <c r="K629">
        <v>51.39</v>
      </c>
      <c r="L629">
        <v>1.5</v>
      </c>
      <c r="M629">
        <v>85</v>
      </c>
      <c r="N629">
        <v>30.71</v>
      </c>
      <c r="O629">
        <v>21028.94</v>
      </c>
      <c r="P629">
        <v>179.85</v>
      </c>
      <c r="Q629">
        <v>988.2</v>
      </c>
      <c r="R629">
        <v>92.07</v>
      </c>
      <c r="S629">
        <v>35.43</v>
      </c>
      <c r="T629">
        <v>26912.9</v>
      </c>
      <c r="U629">
        <v>0.38</v>
      </c>
      <c r="V629">
        <v>0.79</v>
      </c>
      <c r="W629">
        <v>3.1</v>
      </c>
      <c r="X629">
        <v>1.74</v>
      </c>
      <c r="Y629">
        <v>1</v>
      </c>
      <c r="Z629">
        <v>10</v>
      </c>
    </row>
    <row r="630" spans="1:26" x14ac:dyDescent="0.3">
      <c r="A630">
        <v>3</v>
      </c>
      <c r="B630">
        <v>85</v>
      </c>
      <c r="C630" t="s">
        <v>26</v>
      </c>
      <c r="D630">
        <v>5.2481999999999998</v>
      </c>
      <c r="E630">
        <v>19.05</v>
      </c>
      <c r="F630">
        <v>14.21</v>
      </c>
      <c r="G630">
        <v>11.68</v>
      </c>
      <c r="H630">
        <v>0.18</v>
      </c>
      <c r="I630">
        <v>73</v>
      </c>
      <c r="J630">
        <v>168.97</v>
      </c>
      <c r="K630">
        <v>51.39</v>
      </c>
      <c r="L630">
        <v>1.75</v>
      </c>
      <c r="M630">
        <v>71</v>
      </c>
      <c r="N630">
        <v>30.83</v>
      </c>
      <c r="O630">
        <v>21073.68</v>
      </c>
      <c r="P630">
        <v>175.14</v>
      </c>
      <c r="Q630">
        <v>988.27</v>
      </c>
      <c r="R630">
        <v>82.73</v>
      </c>
      <c r="S630">
        <v>35.43</v>
      </c>
      <c r="T630">
        <v>22310.74</v>
      </c>
      <c r="U630">
        <v>0.43</v>
      </c>
      <c r="V630">
        <v>0.8</v>
      </c>
      <c r="W630">
        <v>3.09</v>
      </c>
      <c r="X630">
        <v>1.45</v>
      </c>
      <c r="Y630">
        <v>1</v>
      </c>
      <c r="Z630">
        <v>10</v>
      </c>
    </row>
    <row r="631" spans="1:26" x14ac:dyDescent="0.3">
      <c r="A631">
        <v>4</v>
      </c>
      <c r="B631">
        <v>85</v>
      </c>
      <c r="C631" t="s">
        <v>26</v>
      </c>
      <c r="D631">
        <v>5.4013999999999998</v>
      </c>
      <c r="E631">
        <v>18.510000000000002</v>
      </c>
      <c r="F631">
        <v>14.01</v>
      </c>
      <c r="G631">
        <v>13.34</v>
      </c>
      <c r="H631">
        <v>0.21</v>
      </c>
      <c r="I631">
        <v>63</v>
      </c>
      <c r="J631">
        <v>169.33</v>
      </c>
      <c r="K631">
        <v>51.39</v>
      </c>
      <c r="L631">
        <v>2</v>
      </c>
      <c r="M631">
        <v>61</v>
      </c>
      <c r="N631">
        <v>30.94</v>
      </c>
      <c r="O631">
        <v>21118.46</v>
      </c>
      <c r="P631">
        <v>171.45</v>
      </c>
      <c r="Q631">
        <v>988.29</v>
      </c>
      <c r="R631">
        <v>76.56</v>
      </c>
      <c r="S631">
        <v>35.43</v>
      </c>
      <c r="T631">
        <v>19277.669999999998</v>
      </c>
      <c r="U631">
        <v>0.46</v>
      </c>
      <c r="V631">
        <v>0.81</v>
      </c>
      <c r="W631">
        <v>3.07</v>
      </c>
      <c r="X631">
        <v>1.25</v>
      </c>
      <c r="Y631">
        <v>1</v>
      </c>
      <c r="Z631">
        <v>10</v>
      </c>
    </row>
    <row r="632" spans="1:26" x14ac:dyDescent="0.3">
      <c r="A632">
        <v>5</v>
      </c>
      <c r="B632">
        <v>85</v>
      </c>
      <c r="C632" t="s">
        <v>26</v>
      </c>
      <c r="D632">
        <v>5.5328999999999997</v>
      </c>
      <c r="E632">
        <v>18.07</v>
      </c>
      <c r="F632">
        <v>13.84</v>
      </c>
      <c r="G632">
        <v>15.1</v>
      </c>
      <c r="H632">
        <v>0.24</v>
      </c>
      <c r="I632">
        <v>55</v>
      </c>
      <c r="J632">
        <v>169.7</v>
      </c>
      <c r="K632">
        <v>51.39</v>
      </c>
      <c r="L632">
        <v>2.25</v>
      </c>
      <c r="M632">
        <v>53</v>
      </c>
      <c r="N632">
        <v>31.05</v>
      </c>
      <c r="O632">
        <v>21163.27</v>
      </c>
      <c r="P632">
        <v>168.27</v>
      </c>
      <c r="Q632">
        <v>988.22</v>
      </c>
      <c r="R632">
        <v>71.430000000000007</v>
      </c>
      <c r="S632">
        <v>35.43</v>
      </c>
      <c r="T632">
        <v>16749.96</v>
      </c>
      <c r="U632">
        <v>0.5</v>
      </c>
      <c r="V632">
        <v>0.82</v>
      </c>
      <c r="W632">
        <v>3.06</v>
      </c>
      <c r="X632">
        <v>1.08</v>
      </c>
      <c r="Y632">
        <v>1</v>
      </c>
      <c r="Z632">
        <v>10</v>
      </c>
    </row>
    <row r="633" spans="1:26" x14ac:dyDescent="0.3">
      <c r="A633">
        <v>6</v>
      </c>
      <c r="B633">
        <v>85</v>
      </c>
      <c r="C633" t="s">
        <v>26</v>
      </c>
      <c r="D633">
        <v>5.6356999999999999</v>
      </c>
      <c r="E633">
        <v>17.739999999999998</v>
      </c>
      <c r="F633">
        <v>13.71</v>
      </c>
      <c r="G633">
        <v>16.79</v>
      </c>
      <c r="H633">
        <v>0.26</v>
      </c>
      <c r="I633">
        <v>49</v>
      </c>
      <c r="J633">
        <v>170.06</v>
      </c>
      <c r="K633">
        <v>51.39</v>
      </c>
      <c r="L633">
        <v>2.5</v>
      </c>
      <c r="M633">
        <v>47</v>
      </c>
      <c r="N633">
        <v>31.17</v>
      </c>
      <c r="O633">
        <v>21208.12</v>
      </c>
      <c r="P633">
        <v>165.5</v>
      </c>
      <c r="Q633">
        <v>988.27</v>
      </c>
      <c r="R633">
        <v>67.53</v>
      </c>
      <c r="S633">
        <v>35.43</v>
      </c>
      <c r="T633">
        <v>14830.14</v>
      </c>
      <c r="U633">
        <v>0.52</v>
      </c>
      <c r="V633">
        <v>0.83</v>
      </c>
      <c r="W633">
        <v>3.04</v>
      </c>
      <c r="X633">
        <v>0.96</v>
      </c>
      <c r="Y633">
        <v>1</v>
      </c>
      <c r="Z633">
        <v>10</v>
      </c>
    </row>
    <row r="634" spans="1:26" x14ac:dyDescent="0.3">
      <c r="A634">
        <v>7</v>
      </c>
      <c r="B634">
        <v>85</v>
      </c>
      <c r="C634" t="s">
        <v>26</v>
      </c>
      <c r="D634">
        <v>5.7172000000000001</v>
      </c>
      <c r="E634">
        <v>17.489999999999998</v>
      </c>
      <c r="F634">
        <v>13.63</v>
      </c>
      <c r="G634">
        <v>18.579999999999998</v>
      </c>
      <c r="H634">
        <v>0.28999999999999998</v>
      </c>
      <c r="I634">
        <v>44</v>
      </c>
      <c r="J634">
        <v>170.42</v>
      </c>
      <c r="K634">
        <v>51.39</v>
      </c>
      <c r="L634">
        <v>2.75</v>
      </c>
      <c r="M634">
        <v>42</v>
      </c>
      <c r="N634">
        <v>31.28</v>
      </c>
      <c r="O634">
        <v>21253.01</v>
      </c>
      <c r="P634">
        <v>163.36000000000001</v>
      </c>
      <c r="Q634">
        <v>988.26</v>
      </c>
      <c r="R634">
        <v>65.02</v>
      </c>
      <c r="S634">
        <v>35.43</v>
      </c>
      <c r="T634">
        <v>13601.33</v>
      </c>
      <c r="U634">
        <v>0.54</v>
      </c>
      <c r="V634">
        <v>0.84</v>
      </c>
      <c r="W634">
        <v>3.03</v>
      </c>
      <c r="X634">
        <v>0.87</v>
      </c>
      <c r="Y634">
        <v>1</v>
      </c>
      <c r="Z634">
        <v>10</v>
      </c>
    </row>
    <row r="635" spans="1:26" x14ac:dyDescent="0.3">
      <c r="A635">
        <v>8</v>
      </c>
      <c r="B635">
        <v>85</v>
      </c>
      <c r="C635" t="s">
        <v>26</v>
      </c>
      <c r="D635">
        <v>5.7935999999999996</v>
      </c>
      <c r="E635">
        <v>17.260000000000002</v>
      </c>
      <c r="F635">
        <v>13.53</v>
      </c>
      <c r="G635">
        <v>20.3</v>
      </c>
      <c r="H635">
        <v>0.31</v>
      </c>
      <c r="I635">
        <v>40</v>
      </c>
      <c r="J635">
        <v>170.79</v>
      </c>
      <c r="K635">
        <v>51.39</v>
      </c>
      <c r="L635">
        <v>3</v>
      </c>
      <c r="M635">
        <v>38</v>
      </c>
      <c r="N635">
        <v>31.4</v>
      </c>
      <c r="O635">
        <v>21297.94</v>
      </c>
      <c r="P635">
        <v>160.91999999999999</v>
      </c>
      <c r="Q635">
        <v>988.35</v>
      </c>
      <c r="R635">
        <v>61.66</v>
      </c>
      <c r="S635">
        <v>35.43</v>
      </c>
      <c r="T635">
        <v>11939.13</v>
      </c>
      <c r="U635">
        <v>0.56999999999999995</v>
      </c>
      <c r="V635">
        <v>0.84</v>
      </c>
      <c r="W635">
        <v>3.03</v>
      </c>
      <c r="X635">
        <v>0.78</v>
      </c>
      <c r="Y635">
        <v>1</v>
      </c>
      <c r="Z635">
        <v>10</v>
      </c>
    </row>
    <row r="636" spans="1:26" x14ac:dyDescent="0.3">
      <c r="A636">
        <v>9</v>
      </c>
      <c r="B636">
        <v>85</v>
      </c>
      <c r="C636" t="s">
        <v>26</v>
      </c>
      <c r="D636">
        <v>5.8631000000000002</v>
      </c>
      <c r="E636">
        <v>17.059999999999999</v>
      </c>
      <c r="F636">
        <v>13.46</v>
      </c>
      <c r="G636">
        <v>22.44</v>
      </c>
      <c r="H636">
        <v>0.34</v>
      </c>
      <c r="I636">
        <v>36</v>
      </c>
      <c r="J636">
        <v>171.15</v>
      </c>
      <c r="K636">
        <v>51.39</v>
      </c>
      <c r="L636">
        <v>3.25</v>
      </c>
      <c r="M636">
        <v>34</v>
      </c>
      <c r="N636">
        <v>31.51</v>
      </c>
      <c r="O636">
        <v>21342.91</v>
      </c>
      <c r="P636">
        <v>158.69</v>
      </c>
      <c r="Q636">
        <v>988.23</v>
      </c>
      <c r="R636">
        <v>59.74</v>
      </c>
      <c r="S636">
        <v>35.43</v>
      </c>
      <c r="T636">
        <v>11002.67</v>
      </c>
      <c r="U636">
        <v>0.59</v>
      </c>
      <c r="V636">
        <v>0.85</v>
      </c>
      <c r="W636">
        <v>3.03</v>
      </c>
      <c r="X636">
        <v>0.71</v>
      </c>
      <c r="Y636">
        <v>1</v>
      </c>
      <c r="Z636">
        <v>10</v>
      </c>
    </row>
    <row r="637" spans="1:26" x14ac:dyDescent="0.3">
      <c r="A637">
        <v>10</v>
      </c>
      <c r="B637">
        <v>85</v>
      </c>
      <c r="C637" t="s">
        <v>26</v>
      </c>
      <c r="D637">
        <v>5.9215999999999998</v>
      </c>
      <c r="E637">
        <v>16.89</v>
      </c>
      <c r="F637">
        <v>13.4</v>
      </c>
      <c r="G637">
        <v>24.36</v>
      </c>
      <c r="H637">
        <v>0.36</v>
      </c>
      <c r="I637">
        <v>33</v>
      </c>
      <c r="J637">
        <v>171.52</v>
      </c>
      <c r="K637">
        <v>51.39</v>
      </c>
      <c r="L637">
        <v>3.5</v>
      </c>
      <c r="M637">
        <v>31</v>
      </c>
      <c r="N637">
        <v>31.63</v>
      </c>
      <c r="O637">
        <v>21387.919999999998</v>
      </c>
      <c r="P637">
        <v>156.49</v>
      </c>
      <c r="Q637">
        <v>988.14</v>
      </c>
      <c r="R637">
        <v>57.53</v>
      </c>
      <c r="S637">
        <v>35.43</v>
      </c>
      <c r="T637">
        <v>9912.86</v>
      </c>
      <c r="U637">
        <v>0.62</v>
      </c>
      <c r="V637">
        <v>0.85</v>
      </c>
      <c r="W637">
        <v>3.02</v>
      </c>
      <c r="X637">
        <v>0.64</v>
      </c>
      <c r="Y637">
        <v>1</v>
      </c>
      <c r="Z637">
        <v>10</v>
      </c>
    </row>
    <row r="638" spans="1:26" x14ac:dyDescent="0.3">
      <c r="A638">
        <v>11</v>
      </c>
      <c r="B638">
        <v>85</v>
      </c>
      <c r="C638" t="s">
        <v>26</v>
      </c>
      <c r="D638">
        <v>5.9570999999999996</v>
      </c>
      <c r="E638">
        <v>16.79</v>
      </c>
      <c r="F638">
        <v>13.36</v>
      </c>
      <c r="G638">
        <v>25.87</v>
      </c>
      <c r="H638">
        <v>0.39</v>
      </c>
      <c r="I638">
        <v>31</v>
      </c>
      <c r="J638">
        <v>171.88</v>
      </c>
      <c r="K638">
        <v>51.39</v>
      </c>
      <c r="L638">
        <v>3.75</v>
      </c>
      <c r="M638">
        <v>29</v>
      </c>
      <c r="N638">
        <v>31.74</v>
      </c>
      <c r="O638">
        <v>21432.959999999999</v>
      </c>
      <c r="P638">
        <v>155.4</v>
      </c>
      <c r="Q638">
        <v>988.19</v>
      </c>
      <c r="R638">
        <v>56.73</v>
      </c>
      <c r="S638">
        <v>35.43</v>
      </c>
      <c r="T638">
        <v>9519.86</v>
      </c>
      <c r="U638">
        <v>0.62</v>
      </c>
      <c r="V638">
        <v>0.85</v>
      </c>
      <c r="W638">
        <v>3.01</v>
      </c>
      <c r="X638">
        <v>0.61</v>
      </c>
      <c r="Y638">
        <v>1</v>
      </c>
      <c r="Z638">
        <v>10</v>
      </c>
    </row>
    <row r="639" spans="1:26" x14ac:dyDescent="0.3">
      <c r="A639">
        <v>12</v>
      </c>
      <c r="B639">
        <v>85</v>
      </c>
      <c r="C639" t="s">
        <v>26</v>
      </c>
      <c r="D639">
        <v>5.9974999999999996</v>
      </c>
      <c r="E639">
        <v>16.670000000000002</v>
      </c>
      <c r="F639">
        <v>13.32</v>
      </c>
      <c r="G639">
        <v>27.56</v>
      </c>
      <c r="H639">
        <v>0.41</v>
      </c>
      <c r="I639">
        <v>29</v>
      </c>
      <c r="J639">
        <v>172.25</v>
      </c>
      <c r="K639">
        <v>51.39</v>
      </c>
      <c r="L639">
        <v>4</v>
      </c>
      <c r="M639">
        <v>27</v>
      </c>
      <c r="N639">
        <v>31.86</v>
      </c>
      <c r="O639">
        <v>21478.05</v>
      </c>
      <c r="P639">
        <v>153.63999999999999</v>
      </c>
      <c r="Q639">
        <v>988.22</v>
      </c>
      <c r="R639">
        <v>55.32</v>
      </c>
      <c r="S639">
        <v>35.43</v>
      </c>
      <c r="T639">
        <v>8827.6200000000008</v>
      </c>
      <c r="U639">
        <v>0.64</v>
      </c>
      <c r="V639">
        <v>0.86</v>
      </c>
      <c r="W639">
        <v>3.01</v>
      </c>
      <c r="X639">
        <v>0.56000000000000005</v>
      </c>
      <c r="Y639">
        <v>1</v>
      </c>
      <c r="Z639">
        <v>10</v>
      </c>
    </row>
    <row r="640" spans="1:26" x14ac:dyDescent="0.3">
      <c r="A640">
        <v>13</v>
      </c>
      <c r="B640">
        <v>85</v>
      </c>
      <c r="C640" t="s">
        <v>26</v>
      </c>
      <c r="D640">
        <v>6.0366</v>
      </c>
      <c r="E640">
        <v>16.57</v>
      </c>
      <c r="F640">
        <v>13.28</v>
      </c>
      <c r="G640">
        <v>29.51</v>
      </c>
      <c r="H640">
        <v>0.44</v>
      </c>
      <c r="I640">
        <v>27</v>
      </c>
      <c r="J640">
        <v>172.61</v>
      </c>
      <c r="K640">
        <v>51.39</v>
      </c>
      <c r="L640">
        <v>4.25</v>
      </c>
      <c r="M640">
        <v>25</v>
      </c>
      <c r="N640">
        <v>31.97</v>
      </c>
      <c r="O640">
        <v>21523.17</v>
      </c>
      <c r="P640">
        <v>151.72</v>
      </c>
      <c r="Q640">
        <v>988.3</v>
      </c>
      <c r="R640">
        <v>53.89</v>
      </c>
      <c r="S640">
        <v>35.43</v>
      </c>
      <c r="T640">
        <v>8120.16</v>
      </c>
      <c r="U640">
        <v>0.66</v>
      </c>
      <c r="V640">
        <v>0.86</v>
      </c>
      <c r="W640">
        <v>3.01</v>
      </c>
      <c r="X640">
        <v>0.52</v>
      </c>
      <c r="Y640">
        <v>1</v>
      </c>
      <c r="Z640">
        <v>10</v>
      </c>
    </row>
    <row r="641" spans="1:26" x14ac:dyDescent="0.3">
      <c r="A641">
        <v>14</v>
      </c>
      <c r="B641">
        <v>85</v>
      </c>
      <c r="C641" t="s">
        <v>26</v>
      </c>
      <c r="D641">
        <v>6.0766999999999998</v>
      </c>
      <c r="E641">
        <v>16.46</v>
      </c>
      <c r="F641">
        <v>13.24</v>
      </c>
      <c r="G641">
        <v>31.77</v>
      </c>
      <c r="H641">
        <v>0.46</v>
      </c>
      <c r="I641">
        <v>25</v>
      </c>
      <c r="J641">
        <v>172.98</v>
      </c>
      <c r="K641">
        <v>51.39</v>
      </c>
      <c r="L641">
        <v>4.5</v>
      </c>
      <c r="M641">
        <v>23</v>
      </c>
      <c r="N641">
        <v>32.090000000000003</v>
      </c>
      <c r="O641">
        <v>21568.34</v>
      </c>
      <c r="P641">
        <v>149.97999999999999</v>
      </c>
      <c r="Q641">
        <v>988.28</v>
      </c>
      <c r="R641">
        <v>52.86</v>
      </c>
      <c r="S641">
        <v>35.43</v>
      </c>
      <c r="T641">
        <v>7614.07</v>
      </c>
      <c r="U641">
        <v>0.67</v>
      </c>
      <c r="V641">
        <v>0.86</v>
      </c>
      <c r="W641">
        <v>3</v>
      </c>
      <c r="X641">
        <v>0.48</v>
      </c>
      <c r="Y641">
        <v>1</v>
      </c>
      <c r="Z641">
        <v>10</v>
      </c>
    </row>
    <row r="642" spans="1:26" x14ac:dyDescent="0.3">
      <c r="A642">
        <v>15</v>
      </c>
      <c r="B642">
        <v>85</v>
      </c>
      <c r="C642" t="s">
        <v>26</v>
      </c>
      <c r="D642">
        <v>6.1048999999999998</v>
      </c>
      <c r="E642">
        <v>16.38</v>
      </c>
      <c r="F642">
        <v>13.19</v>
      </c>
      <c r="G642">
        <v>32.99</v>
      </c>
      <c r="H642">
        <v>0.49</v>
      </c>
      <c r="I642">
        <v>24</v>
      </c>
      <c r="J642">
        <v>173.35</v>
      </c>
      <c r="K642">
        <v>51.39</v>
      </c>
      <c r="L642">
        <v>4.75</v>
      </c>
      <c r="M642">
        <v>22</v>
      </c>
      <c r="N642">
        <v>32.200000000000003</v>
      </c>
      <c r="O642">
        <v>21613.54</v>
      </c>
      <c r="P642">
        <v>147.97999999999999</v>
      </c>
      <c r="Q642">
        <v>988.08</v>
      </c>
      <c r="R642">
        <v>51.46</v>
      </c>
      <c r="S642">
        <v>35.43</v>
      </c>
      <c r="T642">
        <v>6923.12</v>
      </c>
      <c r="U642">
        <v>0.69</v>
      </c>
      <c r="V642">
        <v>0.86</v>
      </c>
      <c r="W642">
        <v>3</v>
      </c>
      <c r="X642">
        <v>0.44</v>
      </c>
      <c r="Y642">
        <v>1</v>
      </c>
      <c r="Z642">
        <v>10</v>
      </c>
    </row>
    <row r="643" spans="1:26" x14ac:dyDescent="0.3">
      <c r="A643">
        <v>16</v>
      </c>
      <c r="B643">
        <v>85</v>
      </c>
      <c r="C643" t="s">
        <v>26</v>
      </c>
      <c r="D643">
        <v>6.1395</v>
      </c>
      <c r="E643">
        <v>16.29</v>
      </c>
      <c r="F643">
        <v>13.17</v>
      </c>
      <c r="G643">
        <v>35.92</v>
      </c>
      <c r="H643">
        <v>0.51</v>
      </c>
      <c r="I643">
        <v>22</v>
      </c>
      <c r="J643">
        <v>173.71</v>
      </c>
      <c r="K643">
        <v>51.39</v>
      </c>
      <c r="L643">
        <v>5</v>
      </c>
      <c r="M643">
        <v>20</v>
      </c>
      <c r="N643">
        <v>32.32</v>
      </c>
      <c r="O643">
        <v>21658.78</v>
      </c>
      <c r="P643">
        <v>146.63</v>
      </c>
      <c r="Q643">
        <v>988.18</v>
      </c>
      <c r="R643">
        <v>50.57</v>
      </c>
      <c r="S643">
        <v>35.43</v>
      </c>
      <c r="T643">
        <v>6486.78</v>
      </c>
      <c r="U643">
        <v>0.7</v>
      </c>
      <c r="V643">
        <v>0.87</v>
      </c>
      <c r="W643">
        <v>3</v>
      </c>
      <c r="X643">
        <v>0.42</v>
      </c>
      <c r="Y643">
        <v>1</v>
      </c>
      <c r="Z643">
        <v>10</v>
      </c>
    </row>
    <row r="644" spans="1:26" x14ac:dyDescent="0.3">
      <c r="A644">
        <v>17</v>
      </c>
      <c r="B644">
        <v>85</v>
      </c>
      <c r="C644" t="s">
        <v>26</v>
      </c>
      <c r="D644">
        <v>6.1577999999999999</v>
      </c>
      <c r="E644">
        <v>16.239999999999998</v>
      </c>
      <c r="F644">
        <v>13.16</v>
      </c>
      <c r="G644">
        <v>37.590000000000003</v>
      </c>
      <c r="H644">
        <v>0.53</v>
      </c>
      <c r="I644">
        <v>21</v>
      </c>
      <c r="J644">
        <v>174.08</v>
      </c>
      <c r="K644">
        <v>51.39</v>
      </c>
      <c r="L644">
        <v>5.25</v>
      </c>
      <c r="M644">
        <v>19</v>
      </c>
      <c r="N644">
        <v>32.44</v>
      </c>
      <c r="O644">
        <v>21704.07</v>
      </c>
      <c r="P644">
        <v>145.13999999999999</v>
      </c>
      <c r="Q644">
        <v>988.1</v>
      </c>
      <c r="R644">
        <v>50.21</v>
      </c>
      <c r="S644">
        <v>35.43</v>
      </c>
      <c r="T644">
        <v>6312.6</v>
      </c>
      <c r="U644">
        <v>0.71</v>
      </c>
      <c r="V644">
        <v>0.87</v>
      </c>
      <c r="W644">
        <v>3</v>
      </c>
      <c r="X644">
        <v>0.4</v>
      </c>
      <c r="Y644">
        <v>1</v>
      </c>
      <c r="Z644">
        <v>10</v>
      </c>
    </row>
    <row r="645" spans="1:26" x14ac:dyDescent="0.3">
      <c r="A645">
        <v>18</v>
      </c>
      <c r="B645">
        <v>85</v>
      </c>
      <c r="C645" t="s">
        <v>26</v>
      </c>
      <c r="D645">
        <v>6.1841999999999997</v>
      </c>
      <c r="E645">
        <v>16.170000000000002</v>
      </c>
      <c r="F645">
        <v>13.12</v>
      </c>
      <c r="G645">
        <v>39.36</v>
      </c>
      <c r="H645">
        <v>0.56000000000000005</v>
      </c>
      <c r="I645">
        <v>20</v>
      </c>
      <c r="J645">
        <v>174.45</v>
      </c>
      <c r="K645">
        <v>51.39</v>
      </c>
      <c r="L645">
        <v>5.5</v>
      </c>
      <c r="M645">
        <v>18</v>
      </c>
      <c r="N645">
        <v>32.56</v>
      </c>
      <c r="O645">
        <v>21749.39</v>
      </c>
      <c r="P645">
        <v>143.63999999999999</v>
      </c>
      <c r="Q645">
        <v>988.17</v>
      </c>
      <c r="R645">
        <v>49.2</v>
      </c>
      <c r="S645">
        <v>35.43</v>
      </c>
      <c r="T645">
        <v>5811.17</v>
      </c>
      <c r="U645">
        <v>0.72</v>
      </c>
      <c r="V645">
        <v>0.87</v>
      </c>
      <c r="W645">
        <v>2.99</v>
      </c>
      <c r="X645">
        <v>0.37</v>
      </c>
      <c r="Y645">
        <v>1</v>
      </c>
      <c r="Z645">
        <v>10</v>
      </c>
    </row>
    <row r="646" spans="1:26" x14ac:dyDescent="0.3">
      <c r="A646">
        <v>19</v>
      </c>
      <c r="B646">
        <v>85</v>
      </c>
      <c r="C646" t="s">
        <v>26</v>
      </c>
      <c r="D646">
        <v>6.2016</v>
      </c>
      <c r="E646">
        <v>16.12</v>
      </c>
      <c r="F646">
        <v>13.11</v>
      </c>
      <c r="G646">
        <v>41.4</v>
      </c>
      <c r="H646">
        <v>0.57999999999999996</v>
      </c>
      <c r="I646">
        <v>19</v>
      </c>
      <c r="J646">
        <v>174.82</v>
      </c>
      <c r="K646">
        <v>51.39</v>
      </c>
      <c r="L646">
        <v>5.75</v>
      </c>
      <c r="M646">
        <v>17</v>
      </c>
      <c r="N646">
        <v>32.67</v>
      </c>
      <c r="O646">
        <v>21794.75</v>
      </c>
      <c r="P646">
        <v>141.9</v>
      </c>
      <c r="Q646">
        <v>988.2</v>
      </c>
      <c r="R646">
        <v>48.74</v>
      </c>
      <c r="S646">
        <v>35.43</v>
      </c>
      <c r="T646">
        <v>5588.33</v>
      </c>
      <c r="U646">
        <v>0.73</v>
      </c>
      <c r="V646">
        <v>0.87</v>
      </c>
      <c r="W646">
        <v>3</v>
      </c>
      <c r="X646">
        <v>0.35</v>
      </c>
      <c r="Y646">
        <v>1</v>
      </c>
      <c r="Z646">
        <v>10</v>
      </c>
    </row>
    <row r="647" spans="1:26" x14ac:dyDescent="0.3">
      <c r="A647">
        <v>20</v>
      </c>
      <c r="B647">
        <v>85</v>
      </c>
      <c r="C647" t="s">
        <v>26</v>
      </c>
      <c r="D647">
        <v>6.218</v>
      </c>
      <c r="E647">
        <v>16.079999999999998</v>
      </c>
      <c r="F647">
        <v>13.1</v>
      </c>
      <c r="G647">
        <v>43.67</v>
      </c>
      <c r="H647">
        <v>0.61</v>
      </c>
      <c r="I647">
        <v>18</v>
      </c>
      <c r="J647">
        <v>175.18</v>
      </c>
      <c r="K647">
        <v>51.39</v>
      </c>
      <c r="L647">
        <v>6</v>
      </c>
      <c r="M647">
        <v>16</v>
      </c>
      <c r="N647">
        <v>32.79</v>
      </c>
      <c r="O647">
        <v>21840.16</v>
      </c>
      <c r="P647">
        <v>140.21</v>
      </c>
      <c r="Q647">
        <v>988.08</v>
      </c>
      <c r="R647">
        <v>48.26</v>
      </c>
      <c r="S647">
        <v>35.43</v>
      </c>
      <c r="T647">
        <v>5350.94</v>
      </c>
      <c r="U647">
        <v>0.73</v>
      </c>
      <c r="V647">
        <v>0.87</v>
      </c>
      <c r="W647">
        <v>3</v>
      </c>
      <c r="X647">
        <v>0.35</v>
      </c>
      <c r="Y647">
        <v>1</v>
      </c>
      <c r="Z647">
        <v>10</v>
      </c>
    </row>
    <row r="648" spans="1:26" x14ac:dyDescent="0.3">
      <c r="A648">
        <v>21</v>
      </c>
      <c r="B648">
        <v>85</v>
      </c>
      <c r="C648" t="s">
        <v>26</v>
      </c>
      <c r="D648">
        <v>6.2441000000000004</v>
      </c>
      <c r="E648">
        <v>16.02</v>
      </c>
      <c r="F648">
        <v>13.07</v>
      </c>
      <c r="G648">
        <v>46.12</v>
      </c>
      <c r="H648">
        <v>0.63</v>
      </c>
      <c r="I648">
        <v>17</v>
      </c>
      <c r="J648">
        <v>175.55</v>
      </c>
      <c r="K648">
        <v>51.39</v>
      </c>
      <c r="L648">
        <v>6.25</v>
      </c>
      <c r="M648">
        <v>15</v>
      </c>
      <c r="N648">
        <v>32.909999999999997</v>
      </c>
      <c r="O648">
        <v>21885.599999999999</v>
      </c>
      <c r="P648">
        <v>137.47999999999999</v>
      </c>
      <c r="Q648">
        <v>988.08</v>
      </c>
      <c r="R648">
        <v>47.53</v>
      </c>
      <c r="S648">
        <v>35.43</v>
      </c>
      <c r="T648">
        <v>4989.16</v>
      </c>
      <c r="U648">
        <v>0.75</v>
      </c>
      <c r="V648">
        <v>0.87</v>
      </c>
      <c r="W648">
        <v>2.99</v>
      </c>
      <c r="X648">
        <v>0.31</v>
      </c>
      <c r="Y648">
        <v>1</v>
      </c>
      <c r="Z648">
        <v>10</v>
      </c>
    </row>
    <row r="649" spans="1:26" x14ac:dyDescent="0.3">
      <c r="A649">
        <v>22</v>
      </c>
      <c r="B649">
        <v>85</v>
      </c>
      <c r="C649" t="s">
        <v>26</v>
      </c>
      <c r="D649">
        <v>6.2625000000000002</v>
      </c>
      <c r="E649">
        <v>15.97</v>
      </c>
      <c r="F649">
        <v>13.05</v>
      </c>
      <c r="G649">
        <v>48.95</v>
      </c>
      <c r="H649">
        <v>0.66</v>
      </c>
      <c r="I649">
        <v>16</v>
      </c>
      <c r="J649">
        <v>175.92</v>
      </c>
      <c r="K649">
        <v>51.39</v>
      </c>
      <c r="L649">
        <v>6.5</v>
      </c>
      <c r="M649">
        <v>14</v>
      </c>
      <c r="N649">
        <v>33.03</v>
      </c>
      <c r="O649">
        <v>21931.08</v>
      </c>
      <c r="P649">
        <v>136.32</v>
      </c>
      <c r="Q649">
        <v>988.13</v>
      </c>
      <c r="R649">
        <v>47.11</v>
      </c>
      <c r="S649">
        <v>35.43</v>
      </c>
      <c r="T649">
        <v>4787.57</v>
      </c>
      <c r="U649">
        <v>0.75</v>
      </c>
      <c r="V649">
        <v>0.87</v>
      </c>
      <c r="W649">
        <v>2.99</v>
      </c>
      <c r="X649">
        <v>0.3</v>
      </c>
      <c r="Y649">
        <v>1</v>
      </c>
      <c r="Z649">
        <v>10</v>
      </c>
    </row>
    <row r="650" spans="1:26" x14ac:dyDescent="0.3">
      <c r="A650">
        <v>23</v>
      </c>
      <c r="B650">
        <v>85</v>
      </c>
      <c r="C650" t="s">
        <v>26</v>
      </c>
      <c r="D650">
        <v>6.2601000000000004</v>
      </c>
      <c r="E650">
        <v>15.97</v>
      </c>
      <c r="F650">
        <v>13.06</v>
      </c>
      <c r="G650">
        <v>48.97</v>
      </c>
      <c r="H650">
        <v>0.68</v>
      </c>
      <c r="I650">
        <v>16</v>
      </c>
      <c r="J650">
        <v>176.29</v>
      </c>
      <c r="K650">
        <v>51.39</v>
      </c>
      <c r="L650">
        <v>6.75</v>
      </c>
      <c r="M650">
        <v>14</v>
      </c>
      <c r="N650">
        <v>33.15</v>
      </c>
      <c r="O650">
        <v>21976.61</v>
      </c>
      <c r="P650">
        <v>135.19999999999999</v>
      </c>
      <c r="Q650">
        <v>988.12</v>
      </c>
      <c r="R650">
        <v>47.35</v>
      </c>
      <c r="S650">
        <v>35.43</v>
      </c>
      <c r="T650">
        <v>4903.6000000000004</v>
      </c>
      <c r="U650">
        <v>0.75</v>
      </c>
      <c r="V650">
        <v>0.87</v>
      </c>
      <c r="W650">
        <v>2.99</v>
      </c>
      <c r="X650">
        <v>0.31</v>
      </c>
      <c r="Y650">
        <v>1</v>
      </c>
      <c r="Z650">
        <v>10</v>
      </c>
    </row>
    <row r="651" spans="1:26" x14ac:dyDescent="0.3">
      <c r="A651">
        <v>24</v>
      </c>
      <c r="B651">
        <v>85</v>
      </c>
      <c r="C651" t="s">
        <v>26</v>
      </c>
      <c r="D651">
        <v>6.2820999999999998</v>
      </c>
      <c r="E651">
        <v>15.92</v>
      </c>
      <c r="F651">
        <v>13.04</v>
      </c>
      <c r="G651">
        <v>52.15</v>
      </c>
      <c r="H651">
        <v>0.7</v>
      </c>
      <c r="I651">
        <v>15</v>
      </c>
      <c r="J651">
        <v>176.66</v>
      </c>
      <c r="K651">
        <v>51.39</v>
      </c>
      <c r="L651">
        <v>7</v>
      </c>
      <c r="M651">
        <v>13</v>
      </c>
      <c r="N651">
        <v>33.270000000000003</v>
      </c>
      <c r="O651">
        <v>22022.17</v>
      </c>
      <c r="P651">
        <v>133.19</v>
      </c>
      <c r="Q651">
        <v>988.08</v>
      </c>
      <c r="R651">
        <v>46.62</v>
      </c>
      <c r="S651">
        <v>35.43</v>
      </c>
      <c r="T651">
        <v>4547.2</v>
      </c>
      <c r="U651">
        <v>0.76</v>
      </c>
      <c r="V651">
        <v>0.87</v>
      </c>
      <c r="W651">
        <v>2.99</v>
      </c>
      <c r="X651">
        <v>0.28000000000000003</v>
      </c>
      <c r="Y651">
        <v>1</v>
      </c>
      <c r="Z651">
        <v>10</v>
      </c>
    </row>
    <row r="652" spans="1:26" x14ac:dyDescent="0.3">
      <c r="A652">
        <v>25</v>
      </c>
      <c r="B652">
        <v>85</v>
      </c>
      <c r="C652" t="s">
        <v>26</v>
      </c>
      <c r="D652">
        <v>6.3011999999999997</v>
      </c>
      <c r="E652">
        <v>15.87</v>
      </c>
      <c r="F652">
        <v>13.02</v>
      </c>
      <c r="G652">
        <v>55.81</v>
      </c>
      <c r="H652">
        <v>0.73</v>
      </c>
      <c r="I652">
        <v>14</v>
      </c>
      <c r="J652">
        <v>177.03</v>
      </c>
      <c r="K652">
        <v>51.39</v>
      </c>
      <c r="L652">
        <v>7.25</v>
      </c>
      <c r="M652">
        <v>10</v>
      </c>
      <c r="N652">
        <v>33.39</v>
      </c>
      <c r="O652">
        <v>22067.77</v>
      </c>
      <c r="P652">
        <v>131.38</v>
      </c>
      <c r="Q652">
        <v>988.09</v>
      </c>
      <c r="R652">
        <v>45.91</v>
      </c>
      <c r="S652">
        <v>35.43</v>
      </c>
      <c r="T652">
        <v>4197.6000000000004</v>
      </c>
      <c r="U652">
        <v>0.77</v>
      </c>
      <c r="V652">
        <v>0.88</v>
      </c>
      <c r="W652">
        <v>3</v>
      </c>
      <c r="X652">
        <v>0.27</v>
      </c>
      <c r="Y652">
        <v>1</v>
      </c>
      <c r="Z652">
        <v>10</v>
      </c>
    </row>
    <row r="653" spans="1:26" x14ac:dyDescent="0.3">
      <c r="A653">
        <v>26</v>
      </c>
      <c r="B653">
        <v>85</v>
      </c>
      <c r="C653" t="s">
        <v>26</v>
      </c>
      <c r="D653">
        <v>6.3079000000000001</v>
      </c>
      <c r="E653">
        <v>15.85</v>
      </c>
      <c r="F653">
        <v>13.01</v>
      </c>
      <c r="G653">
        <v>55.74</v>
      </c>
      <c r="H653">
        <v>0.75</v>
      </c>
      <c r="I653">
        <v>14</v>
      </c>
      <c r="J653">
        <v>177.4</v>
      </c>
      <c r="K653">
        <v>51.39</v>
      </c>
      <c r="L653">
        <v>7.5</v>
      </c>
      <c r="M653">
        <v>9</v>
      </c>
      <c r="N653">
        <v>33.51</v>
      </c>
      <c r="O653">
        <v>22113.42</v>
      </c>
      <c r="P653">
        <v>130.32</v>
      </c>
      <c r="Q653">
        <v>988.12</v>
      </c>
      <c r="R653">
        <v>45.56</v>
      </c>
      <c r="S653">
        <v>35.43</v>
      </c>
      <c r="T653">
        <v>4021.76</v>
      </c>
      <c r="U653">
        <v>0.78</v>
      </c>
      <c r="V653">
        <v>0.88</v>
      </c>
      <c r="W653">
        <v>2.99</v>
      </c>
      <c r="X653">
        <v>0.25</v>
      </c>
      <c r="Y653">
        <v>1</v>
      </c>
      <c r="Z653">
        <v>10</v>
      </c>
    </row>
    <row r="654" spans="1:26" x14ac:dyDescent="0.3">
      <c r="A654">
        <v>27</v>
      </c>
      <c r="B654">
        <v>85</v>
      </c>
      <c r="C654" t="s">
        <v>26</v>
      </c>
      <c r="D654">
        <v>6.3052999999999999</v>
      </c>
      <c r="E654">
        <v>15.86</v>
      </c>
      <c r="F654">
        <v>13.01</v>
      </c>
      <c r="G654">
        <v>55.77</v>
      </c>
      <c r="H654">
        <v>0.77</v>
      </c>
      <c r="I654">
        <v>14</v>
      </c>
      <c r="J654">
        <v>177.77</v>
      </c>
      <c r="K654">
        <v>51.39</v>
      </c>
      <c r="L654">
        <v>7.75</v>
      </c>
      <c r="M654">
        <v>7</v>
      </c>
      <c r="N654">
        <v>33.630000000000003</v>
      </c>
      <c r="O654">
        <v>22159.1</v>
      </c>
      <c r="P654">
        <v>128.93</v>
      </c>
      <c r="Q654">
        <v>988.12</v>
      </c>
      <c r="R654">
        <v>45.53</v>
      </c>
      <c r="S654">
        <v>35.43</v>
      </c>
      <c r="T654">
        <v>4007.64</v>
      </c>
      <c r="U654">
        <v>0.78</v>
      </c>
      <c r="V654">
        <v>0.88</v>
      </c>
      <c r="W654">
        <v>2.99</v>
      </c>
      <c r="X654">
        <v>0.26</v>
      </c>
      <c r="Y654">
        <v>1</v>
      </c>
      <c r="Z654">
        <v>10</v>
      </c>
    </row>
    <row r="655" spans="1:26" x14ac:dyDescent="0.3">
      <c r="A655">
        <v>28</v>
      </c>
      <c r="B655">
        <v>85</v>
      </c>
      <c r="C655" t="s">
        <v>26</v>
      </c>
      <c r="D655">
        <v>6.3247999999999998</v>
      </c>
      <c r="E655">
        <v>15.81</v>
      </c>
      <c r="F655">
        <v>13</v>
      </c>
      <c r="G655">
        <v>59.99</v>
      </c>
      <c r="H655">
        <v>0.8</v>
      </c>
      <c r="I655">
        <v>13</v>
      </c>
      <c r="J655">
        <v>178.14</v>
      </c>
      <c r="K655">
        <v>51.39</v>
      </c>
      <c r="L655">
        <v>8</v>
      </c>
      <c r="M655">
        <v>3</v>
      </c>
      <c r="N655">
        <v>33.75</v>
      </c>
      <c r="O655">
        <v>22204.83</v>
      </c>
      <c r="P655">
        <v>128.44999999999999</v>
      </c>
      <c r="Q655">
        <v>988.22</v>
      </c>
      <c r="R655">
        <v>45.16</v>
      </c>
      <c r="S655">
        <v>35.43</v>
      </c>
      <c r="T655">
        <v>3828.51</v>
      </c>
      <c r="U655">
        <v>0.78</v>
      </c>
      <c r="V655">
        <v>0.88</v>
      </c>
      <c r="W655">
        <v>2.99</v>
      </c>
      <c r="X655">
        <v>0.24</v>
      </c>
      <c r="Y655">
        <v>1</v>
      </c>
      <c r="Z655">
        <v>10</v>
      </c>
    </row>
    <row r="656" spans="1:26" x14ac:dyDescent="0.3">
      <c r="A656">
        <v>29</v>
      </c>
      <c r="B656">
        <v>85</v>
      </c>
      <c r="C656" t="s">
        <v>26</v>
      </c>
      <c r="D656">
        <v>6.3217999999999996</v>
      </c>
      <c r="E656">
        <v>15.82</v>
      </c>
      <c r="F656">
        <v>13.01</v>
      </c>
      <c r="G656">
        <v>60.02</v>
      </c>
      <c r="H656">
        <v>0.82</v>
      </c>
      <c r="I656">
        <v>13</v>
      </c>
      <c r="J656">
        <v>178.51</v>
      </c>
      <c r="K656">
        <v>51.39</v>
      </c>
      <c r="L656">
        <v>8.25</v>
      </c>
      <c r="M656">
        <v>1</v>
      </c>
      <c r="N656">
        <v>33.869999999999997</v>
      </c>
      <c r="O656">
        <v>22250.6</v>
      </c>
      <c r="P656">
        <v>128.62</v>
      </c>
      <c r="Q656">
        <v>988.23</v>
      </c>
      <c r="R656">
        <v>45.3</v>
      </c>
      <c r="S656">
        <v>35.43</v>
      </c>
      <c r="T656">
        <v>3893.86</v>
      </c>
      <c r="U656">
        <v>0.78</v>
      </c>
      <c r="V656">
        <v>0.88</v>
      </c>
      <c r="W656">
        <v>2.99</v>
      </c>
      <c r="X656">
        <v>0.25</v>
      </c>
      <c r="Y656">
        <v>1</v>
      </c>
      <c r="Z656">
        <v>10</v>
      </c>
    </row>
    <row r="657" spans="1:26" x14ac:dyDescent="0.3">
      <c r="A657">
        <v>30</v>
      </c>
      <c r="B657">
        <v>85</v>
      </c>
      <c r="C657" t="s">
        <v>26</v>
      </c>
      <c r="D657">
        <v>6.3209999999999997</v>
      </c>
      <c r="E657">
        <v>15.82</v>
      </c>
      <c r="F657">
        <v>13.01</v>
      </c>
      <c r="G657">
        <v>60.03</v>
      </c>
      <c r="H657">
        <v>0.84</v>
      </c>
      <c r="I657">
        <v>13</v>
      </c>
      <c r="J657">
        <v>178.88</v>
      </c>
      <c r="K657">
        <v>51.39</v>
      </c>
      <c r="L657">
        <v>8.5</v>
      </c>
      <c r="M657">
        <v>0</v>
      </c>
      <c r="N657">
        <v>33.99</v>
      </c>
      <c r="O657">
        <v>22296.41</v>
      </c>
      <c r="P657">
        <v>128.74</v>
      </c>
      <c r="Q657">
        <v>988.2</v>
      </c>
      <c r="R657">
        <v>45.32</v>
      </c>
      <c r="S657">
        <v>35.43</v>
      </c>
      <c r="T657">
        <v>3905.26</v>
      </c>
      <c r="U657">
        <v>0.78</v>
      </c>
      <c r="V657">
        <v>0.88</v>
      </c>
      <c r="W657">
        <v>3</v>
      </c>
      <c r="X657">
        <v>0.25</v>
      </c>
      <c r="Y657">
        <v>1</v>
      </c>
      <c r="Z657">
        <v>10</v>
      </c>
    </row>
    <row r="658" spans="1:26" x14ac:dyDescent="0.3">
      <c r="A658">
        <v>0</v>
      </c>
      <c r="B658">
        <v>20</v>
      </c>
      <c r="C658" t="s">
        <v>26</v>
      </c>
      <c r="D658">
        <v>6.1668000000000003</v>
      </c>
      <c r="E658">
        <v>16.22</v>
      </c>
      <c r="F658">
        <v>13.83</v>
      </c>
      <c r="G658">
        <v>15.96</v>
      </c>
      <c r="H658">
        <v>0.34</v>
      </c>
      <c r="I658">
        <v>52</v>
      </c>
      <c r="J658">
        <v>51.33</v>
      </c>
      <c r="K658">
        <v>24.83</v>
      </c>
      <c r="L658">
        <v>1</v>
      </c>
      <c r="M658">
        <v>11</v>
      </c>
      <c r="N658">
        <v>5.51</v>
      </c>
      <c r="O658">
        <v>6564.78</v>
      </c>
      <c r="P658">
        <v>65.180000000000007</v>
      </c>
      <c r="Q658">
        <v>988.38</v>
      </c>
      <c r="R658">
        <v>69.94</v>
      </c>
      <c r="S658">
        <v>35.43</v>
      </c>
      <c r="T658">
        <v>16019.94</v>
      </c>
      <c r="U658">
        <v>0.51</v>
      </c>
      <c r="V658">
        <v>0.82</v>
      </c>
      <c r="W658">
        <v>3.09</v>
      </c>
      <c r="X658">
        <v>1.08</v>
      </c>
      <c r="Y658">
        <v>1</v>
      </c>
      <c r="Z658">
        <v>10</v>
      </c>
    </row>
    <row r="659" spans="1:26" x14ac:dyDescent="0.3">
      <c r="A659">
        <v>1</v>
      </c>
      <c r="B659">
        <v>20</v>
      </c>
      <c r="C659" t="s">
        <v>26</v>
      </c>
      <c r="D659">
        <v>6.1811999999999996</v>
      </c>
      <c r="E659">
        <v>16.18</v>
      </c>
      <c r="F659">
        <v>13.81</v>
      </c>
      <c r="G659">
        <v>16.239999999999998</v>
      </c>
      <c r="H659">
        <v>0.42</v>
      </c>
      <c r="I659">
        <v>51</v>
      </c>
      <c r="J659">
        <v>51.62</v>
      </c>
      <c r="K659">
        <v>24.83</v>
      </c>
      <c r="L659">
        <v>1.25</v>
      </c>
      <c r="M659">
        <v>0</v>
      </c>
      <c r="N659">
        <v>5.54</v>
      </c>
      <c r="O659">
        <v>6599.8</v>
      </c>
      <c r="P659">
        <v>65.27</v>
      </c>
      <c r="Q659">
        <v>988.45</v>
      </c>
      <c r="R659">
        <v>68.39</v>
      </c>
      <c r="S659">
        <v>35.43</v>
      </c>
      <c r="T659">
        <v>15250.5</v>
      </c>
      <c r="U659">
        <v>0.52</v>
      </c>
      <c r="V659">
        <v>0.83</v>
      </c>
      <c r="W659">
        <v>3.11</v>
      </c>
      <c r="X659">
        <v>1.05</v>
      </c>
      <c r="Y659">
        <v>1</v>
      </c>
      <c r="Z659">
        <v>10</v>
      </c>
    </row>
    <row r="660" spans="1:26" x14ac:dyDescent="0.3">
      <c r="A660">
        <v>0</v>
      </c>
      <c r="B660">
        <v>120</v>
      </c>
      <c r="C660" t="s">
        <v>26</v>
      </c>
      <c r="D660">
        <v>3.6052</v>
      </c>
      <c r="E660">
        <v>27.74</v>
      </c>
      <c r="F660">
        <v>16.559999999999999</v>
      </c>
      <c r="G660">
        <v>5.34</v>
      </c>
      <c r="H660">
        <v>0.08</v>
      </c>
      <c r="I660">
        <v>186</v>
      </c>
      <c r="J660">
        <v>232.68</v>
      </c>
      <c r="K660">
        <v>57.72</v>
      </c>
      <c r="L660">
        <v>1</v>
      </c>
      <c r="M660">
        <v>184</v>
      </c>
      <c r="N660">
        <v>53.95</v>
      </c>
      <c r="O660">
        <v>28931.02</v>
      </c>
      <c r="P660">
        <v>257.98</v>
      </c>
      <c r="Q660">
        <v>988.61</v>
      </c>
      <c r="R660">
        <v>156.38999999999999</v>
      </c>
      <c r="S660">
        <v>35.43</v>
      </c>
      <c r="T660">
        <v>58576.78</v>
      </c>
      <c r="U660">
        <v>0.23</v>
      </c>
      <c r="V660">
        <v>0.69</v>
      </c>
      <c r="W660">
        <v>3.26</v>
      </c>
      <c r="X660">
        <v>3.8</v>
      </c>
      <c r="Y660">
        <v>1</v>
      </c>
      <c r="Z660">
        <v>10</v>
      </c>
    </row>
    <row r="661" spans="1:26" x14ac:dyDescent="0.3">
      <c r="A661">
        <v>1</v>
      </c>
      <c r="B661">
        <v>120</v>
      </c>
      <c r="C661" t="s">
        <v>26</v>
      </c>
      <c r="D661">
        <v>4.0526</v>
      </c>
      <c r="E661">
        <v>24.68</v>
      </c>
      <c r="F661">
        <v>15.59</v>
      </c>
      <c r="G661">
        <v>6.68</v>
      </c>
      <c r="H661">
        <v>0.1</v>
      </c>
      <c r="I661">
        <v>140</v>
      </c>
      <c r="J661">
        <v>233.1</v>
      </c>
      <c r="K661">
        <v>57.72</v>
      </c>
      <c r="L661">
        <v>1.25</v>
      </c>
      <c r="M661">
        <v>138</v>
      </c>
      <c r="N661">
        <v>54.13</v>
      </c>
      <c r="O661">
        <v>28983.75</v>
      </c>
      <c r="P661">
        <v>242.15</v>
      </c>
      <c r="Q661">
        <v>988.47</v>
      </c>
      <c r="R661">
        <v>126.1</v>
      </c>
      <c r="S661">
        <v>35.43</v>
      </c>
      <c r="T661">
        <v>43661.11</v>
      </c>
      <c r="U661">
        <v>0.28000000000000003</v>
      </c>
      <c r="V661">
        <v>0.73</v>
      </c>
      <c r="W661">
        <v>3.19</v>
      </c>
      <c r="X661">
        <v>2.83</v>
      </c>
      <c r="Y661">
        <v>1</v>
      </c>
      <c r="Z661">
        <v>10</v>
      </c>
    </row>
    <row r="662" spans="1:26" x14ac:dyDescent="0.3">
      <c r="A662">
        <v>2</v>
      </c>
      <c r="B662">
        <v>120</v>
      </c>
      <c r="C662" t="s">
        <v>26</v>
      </c>
      <c r="D662">
        <v>4.3796999999999997</v>
      </c>
      <c r="E662">
        <v>22.83</v>
      </c>
      <c r="F662">
        <v>15.02</v>
      </c>
      <c r="G662">
        <v>8.0500000000000007</v>
      </c>
      <c r="H662">
        <v>0.11</v>
      </c>
      <c r="I662">
        <v>112</v>
      </c>
      <c r="J662">
        <v>233.53</v>
      </c>
      <c r="K662">
        <v>57.72</v>
      </c>
      <c r="L662">
        <v>1.5</v>
      </c>
      <c r="M662">
        <v>110</v>
      </c>
      <c r="N662">
        <v>54.31</v>
      </c>
      <c r="O662">
        <v>29036.54</v>
      </c>
      <c r="P662">
        <v>232.53</v>
      </c>
      <c r="Q662">
        <v>988.23</v>
      </c>
      <c r="R662">
        <v>108.11</v>
      </c>
      <c r="S662">
        <v>35.43</v>
      </c>
      <c r="T662">
        <v>34805.4</v>
      </c>
      <c r="U662">
        <v>0.33</v>
      </c>
      <c r="V662">
        <v>0.76</v>
      </c>
      <c r="W662">
        <v>3.16</v>
      </c>
      <c r="X662">
        <v>2.27</v>
      </c>
      <c r="Y662">
        <v>1</v>
      </c>
      <c r="Z662">
        <v>10</v>
      </c>
    </row>
    <row r="663" spans="1:26" x14ac:dyDescent="0.3">
      <c r="A663">
        <v>3</v>
      </c>
      <c r="B663">
        <v>120</v>
      </c>
      <c r="C663" t="s">
        <v>26</v>
      </c>
      <c r="D663">
        <v>4.6250999999999998</v>
      </c>
      <c r="E663">
        <v>21.62</v>
      </c>
      <c r="F663">
        <v>14.63</v>
      </c>
      <c r="G663">
        <v>9.34</v>
      </c>
      <c r="H663">
        <v>0.13</v>
      </c>
      <c r="I663">
        <v>94</v>
      </c>
      <c r="J663">
        <v>233.96</v>
      </c>
      <c r="K663">
        <v>57.72</v>
      </c>
      <c r="L663">
        <v>1.75</v>
      </c>
      <c r="M663">
        <v>92</v>
      </c>
      <c r="N663">
        <v>54.49</v>
      </c>
      <c r="O663">
        <v>29089.39</v>
      </c>
      <c r="P663">
        <v>225.73</v>
      </c>
      <c r="Q663">
        <v>988.55</v>
      </c>
      <c r="R663">
        <v>96.13</v>
      </c>
      <c r="S663">
        <v>35.43</v>
      </c>
      <c r="T663">
        <v>28906.06</v>
      </c>
      <c r="U663">
        <v>0.37</v>
      </c>
      <c r="V663">
        <v>0.78</v>
      </c>
      <c r="W663">
        <v>3.11</v>
      </c>
      <c r="X663">
        <v>1.87</v>
      </c>
      <c r="Y663">
        <v>1</v>
      </c>
      <c r="Z663">
        <v>10</v>
      </c>
    </row>
    <row r="664" spans="1:26" x14ac:dyDescent="0.3">
      <c r="A664">
        <v>4</v>
      </c>
      <c r="B664">
        <v>120</v>
      </c>
      <c r="C664" t="s">
        <v>26</v>
      </c>
      <c r="D664">
        <v>4.8320999999999996</v>
      </c>
      <c r="E664">
        <v>20.69</v>
      </c>
      <c r="F664">
        <v>14.34</v>
      </c>
      <c r="G664">
        <v>10.76</v>
      </c>
      <c r="H664">
        <v>0.15</v>
      </c>
      <c r="I664">
        <v>80</v>
      </c>
      <c r="J664">
        <v>234.39</v>
      </c>
      <c r="K664">
        <v>57.72</v>
      </c>
      <c r="L664">
        <v>2</v>
      </c>
      <c r="M664">
        <v>78</v>
      </c>
      <c r="N664">
        <v>54.67</v>
      </c>
      <c r="O664">
        <v>29142.31</v>
      </c>
      <c r="P664">
        <v>220.55</v>
      </c>
      <c r="Q664">
        <v>988.27</v>
      </c>
      <c r="R664">
        <v>87.18</v>
      </c>
      <c r="S664">
        <v>35.43</v>
      </c>
      <c r="T664">
        <v>24499.9</v>
      </c>
      <c r="U664">
        <v>0.41</v>
      </c>
      <c r="V664">
        <v>0.79</v>
      </c>
      <c r="W664">
        <v>3.09</v>
      </c>
      <c r="X664">
        <v>1.58</v>
      </c>
      <c r="Y664">
        <v>1</v>
      </c>
      <c r="Z664">
        <v>10</v>
      </c>
    </row>
    <row r="665" spans="1:26" x14ac:dyDescent="0.3">
      <c r="A665">
        <v>5</v>
      </c>
      <c r="B665">
        <v>120</v>
      </c>
      <c r="C665" t="s">
        <v>26</v>
      </c>
      <c r="D665">
        <v>4.9843999999999999</v>
      </c>
      <c r="E665">
        <v>20.059999999999999</v>
      </c>
      <c r="F665">
        <v>14.16</v>
      </c>
      <c r="G665">
        <v>12.14</v>
      </c>
      <c r="H665">
        <v>0.17</v>
      </c>
      <c r="I665">
        <v>70</v>
      </c>
      <c r="J665">
        <v>234.82</v>
      </c>
      <c r="K665">
        <v>57.72</v>
      </c>
      <c r="L665">
        <v>2.25</v>
      </c>
      <c r="M665">
        <v>68</v>
      </c>
      <c r="N665">
        <v>54.85</v>
      </c>
      <c r="O665">
        <v>29195.29</v>
      </c>
      <c r="P665">
        <v>217</v>
      </c>
      <c r="Q665">
        <v>988.3</v>
      </c>
      <c r="R665">
        <v>81.27</v>
      </c>
      <c r="S665">
        <v>35.43</v>
      </c>
      <c r="T665">
        <v>21595.58</v>
      </c>
      <c r="U665">
        <v>0.44</v>
      </c>
      <c r="V665">
        <v>0.8</v>
      </c>
      <c r="W665">
        <v>3.09</v>
      </c>
      <c r="X665">
        <v>1.41</v>
      </c>
      <c r="Y665">
        <v>1</v>
      </c>
      <c r="Z665">
        <v>10</v>
      </c>
    </row>
    <row r="666" spans="1:26" x14ac:dyDescent="0.3">
      <c r="A666">
        <v>6</v>
      </c>
      <c r="B666">
        <v>120</v>
      </c>
      <c r="C666" t="s">
        <v>26</v>
      </c>
      <c r="D666">
        <v>5.1054000000000004</v>
      </c>
      <c r="E666">
        <v>19.59</v>
      </c>
      <c r="F666">
        <v>14.01</v>
      </c>
      <c r="G666">
        <v>13.34</v>
      </c>
      <c r="H666">
        <v>0.19</v>
      </c>
      <c r="I666">
        <v>63</v>
      </c>
      <c r="J666">
        <v>235.25</v>
      </c>
      <c r="K666">
        <v>57.72</v>
      </c>
      <c r="L666">
        <v>2.5</v>
      </c>
      <c r="M666">
        <v>61</v>
      </c>
      <c r="N666">
        <v>55.03</v>
      </c>
      <c r="O666">
        <v>29248.33</v>
      </c>
      <c r="P666">
        <v>213.76</v>
      </c>
      <c r="Q666">
        <v>988.25</v>
      </c>
      <c r="R666">
        <v>76.59</v>
      </c>
      <c r="S666">
        <v>35.43</v>
      </c>
      <c r="T666">
        <v>19293.41</v>
      </c>
      <c r="U666">
        <v>0.46</v>
      </c>
      <c r="V666">
        <v>0.81</v>
      </c>
      <c r="W666">
        <v>3.07</v>
      </c>
      <c r="X666">
        <v>1.25</v>
      </c>
      <c r="Y666">
        <v>1</v>
      </c>
      <c r="Z666">
        <v>10</v>
      </c>
    </row>
    <row r="667" spans="1:26" x14ac:dyDescent="0.3">
      <c r="A667">
        <v>7</v>
      </c>
      <c r="B667">
        <v>120</v>
      </c>
      <c r="C667" t="s">
        <v>26</v>
      </c>
      <c r="D667">
        <v>5.2297000000000002</v>
      </c>
      <c r="E667">
        <v>19.12</v>
      </c>
      <c r="F667">
        <v>13.86</v>
      </c>
      <c r="G667">
        <v>14.85</v>
      </c>
      <c r="H667">
        <v>0.21</v>
      </c>
      <c r="I667">
        <v>56</v>
      </c>
      <c r="J667">
        <v>235.68</v>
      </c>
      <c r="K667">
        <v>57.72</v>
      </c>
      <c r="L667">
        <v>2.75</v>
      </c>
      <c r="M667">
        <v>54</v>
      </c>
      <c r="N667">
        <v>55.21</v>
      </c>
      <c r="O667">
        <v>29301.439999999999</v>
      </c>
      <c r="P667">
        <v>210.66</v>
      </c>
      <c r="Q667">
        <v>988.16</v>
      </c>
      <c r="R667">
        <v>72.14</v>
      </c>
      <c r="S667">
        <v>35.43</v>
      </c>
      <c r="T667">
        <v>17101.7</v>
      </c>
      <c r="U667">
        <v>0.49</v>
      </c>
      <c r="V667">
        <v>0.82</v>
      </c>
      <c r="W667">
        <v>3.06</v>
      </c>
      <c r="X667">
        <v>1.1100000000000001</v>
      </c>
      <c r="Y667">
        <v>1</v>
      </c>
      <c r="Z667">
        <v>10</v>
      </c>
    </row>
    <row r="668" spans="1:26" x14ac:dyDescent="0.3">
      <c r="A668">
        <v>8</v>
      </c>
      <c r="B668">
        <v>120</v>
      </c>
      <c r="C668" t="s">
        <v>26</v>
      </c>
      <c r="D668">
        <v>5.3135000000000003</v>
      </c>
      <c r="E668">
        <v>18.82</v>
      </c>
      <c r="F668">
        <v>13.79</v>
      </c>
      <c r="G668">
        <v>16.22</v>
      </c>
      <c r="H668">
        <v>0.23</v>
      </c>
      <c r="I668">
        <v>51</v>
      </c>
      <c r="J668">
        <v>236.11</v>
      </c>
      <c r="K668">
        <v>57.72</v>
      </c>
      <c r="L668">
        <v>3</v>
      </c>
      <c r="M668">
        <v>49</v>
      </c>
      <c r="N668">
        <v>55.39</v>
      </c>
      <c r="O668">
        <v>29354.61</v>
      </c>
      <c r="P668">
        <v>208.78</v>
      </c>
      <c r="Q668">
        <v>988.23</v>
      </c>
      <c r="R668">
        <v>69.64</v>
      </c>
      <c r="S668">
        <v>35.43</v>
      </c>
      <c r="T668">
        <v>15873.78</v>
      </c>
      <c r="U668">
        <v>0.51</v>
      </c>
      <c r="V668">
        <v>0.83</v>
      </c>
      <c r="W668">
        <v>3.06</v>
      </c>
      <c r="X668">
        <v>1.03</v>
      </c>
      <c r="Y668">
        <v>1</v>
      </c>
      <c r="Z668">
        <v>10</v>
      </c>
    </row>
    <row r="669" spans="1:26" x14ac:dyDescent="0.3">
      <c r="A669">
        <v>9</v>
      </c>
      <c r="B669">
        <v>120</v>
      </c>
      <c r="C669" t="s">
        <v>26</v>
      </c>
      <c r="D669">
        <v>5.3960999999999997</v>
      </c>
      <c r="E669">
        <v>18.53</v>
      </c>
      <c r="F669">
        <v>13.68</v>
      </c>
      <c r="G669">
        <v>17.47</v>
      </c>
      <c r="H669">
        <v>0.24</v>
      </c>
      <c r="I669">
        <v>47</v>
      </c>
      <c r="J669">
        <v>236.54</v>
      </c>
      <c r="K669">
        <v>57.72</v>
      </c>
      <c r="L669">
        <v>3.25</v>
      </c>
      <c r="M669">
        <v>45</v>
      </c>
      <c r="N669">
        <v>55.57</v>
      </c>
      <c r="O669">
        <v>29407.85</v>
      </c>
      <c r="P669">
        <v>206.44</v>
      </c>
      <c r="Q669">
        <v>988.19</v>
      </c>
      <c r="R669">
        <v>66.540000000000006</v>
      </c>
      <c r="S669">
        <v>35.43</v>
      </c>
      <c r="T669">
        <v>14347.93</v>
      </c>
      <c r="U669">
        <v>0.53</v>
      </c>
      <c r="V669">
        <v>0.83</v>
      </c>
      <c r="W669">
        <v>3.04</v>
      </c>
      <c r="X669">
        <v>0.93</v>
      </c>
      <c r="Y669">
        <v>1</v>
      </c>
      <c r="Z669">
        <v>10</v>
      </c>
    </row>
    <row r="670" spans="1:26" x14ac:dyDescent="0.3">
      <c r="A670">
        <v>10</v>
      </c>
      <c r="B670">
        <v>120</v>
      </c>
      <c r="C670" t="s">
        <v>26</v>
      </c>
      <c r="D670">
        <v>5.4775</v>
      </c>
      <c r="E670">
        <v>18.260000000000002</v>
      </c>
      <c r="F670">
        <v>13.59</v>
      </c>
      <c r="G670">
        <v>18.96</v>
      </c>
      <c r="H670">
        <v>0.26</v>
      </c>
      <c r="I670">
        <v>43</v>
      </c>
      <c r="J670">
        <v>236.98</v>
      </c>
      <c r="K670">
        <v>57.72</v>
      </c>
      <c r="L670">
        <v>3.5</v>
      </c>
      <c r="M670">
        <v>41</v>
      </c>
      <c r="N670">
        <v>55.75</v>
      </c>
      <c r="O670">
        <v>29461.15</v>
      </c>
      <c r="P670">
        <v>204.35</v>
      </c>
      <c r="Q670">
        <v>988.16</v>
      </c>
      <c r="R670">
        <v>63.73</v>
      </c>
      <c r="S670">
        <v>35.43</v>
      </c>
      <c r="T670">
        <v>12959.72</v>
      </c>
      <c r="U670">
        <v>0.56000000000000005</v>
      </c>
      <c r="V670">
        <v>0.84</v>
      </c>
      <c r="W670">
        <v>3.03</v>
      </c>
      <c r="X670">
        <v>0.83</v>
      </c>
      <c r="Y670">
        <v>1</v>
      </c>
      <c r="Z670">
        <v>10</v>
      </c>
    </row>
    <row r="671" spans="1:26" x14ac:dyDescent="0.3">
      <c r="A671">
        <v>11</v>
      </c>
      <c r="B671">
        <v>120</v>
      </c>
      <c r="C671" t="s">
        <v>26</v>
      </c>
      <c r="D671">
        <v>5.5365000000000002</v>
      </c>
      <c r="E671">
        <v>18.059999999999999</v>
      </c>
      <c r="F671">
        <v>13.53</v>
      </c>
      <c r="G671">
        <v>20.3</v>
      </c>
      <c r="H671">
        <v>0.28000000000000003</v>
      </c>
      <c r="I671">
        <v>40</v>
      </c>
      <c r="J671">
        <v>237.41</v>
      </c>
      <c r="K671">
        <v>57.72</v>
      </c>
      <c r="L671">
        <v>3.75</v>
      </c>
      <c r="M671">
        <v>38</v>
      </c>
      <c r="N671">
        <v>55.93</v>
      </c>
      <c r="O671">
        <v>29514.51</v>
      </c>
      <c r="P671">
        <v>202.71</v>
      </c>
      <c r="Q671">
        <v>988.11</v>
      </c>
      <c r="R671">
        <v>61.73</v>
      </c>
      <c r="S671">
        <v>35.43</v>
      </c>
      <c r="T671">
        <v>11977.73</v>
      </c>
      <c r="U671">
        <v>0.56999999999999995</v>
      </c>
      <c r="V671">
        <v>0.84</v>
      </c>
      <c r="W671">
        <v>3.03</v>
      </c>
      <c r="X671">
        <v>0.78</v>
      </c>
      <c r="Y671">
        <v>1</v>
      </c>
      <c r="Z671">
        <v>10</v>
      </c>
    </row>
    <row r="672" spans="1:26" x14ac:dyDescent="0.3">
      <c r="A672">
        <v>12</v>
      </c>
      <c r="B672">
        <v>120</v>
      </c>
      <c r="C672" t="s">
        <v>26</v>
      </c>
      <c r="D672">
        <v>5.5963000000000003</v>
      </c>
      <c r="E672">
        <v>17.87</v>
      </c>
      <c r="F672">
        <v>13.47</v>
      </c>
      <c r="G672">
        <v>21.85</v>
      </c>
      <c r="H672">
        <v>0.3</v>
      </c>
      <c r="I672">
        <v>37</v>
      </c>
      <c r="J672">
        <v>237.84</v>
      </c>
      <c r="K672">
        <v>57.72</v>
      </c>
      <c r="L672">
        <v>4</v>
      </c>
      <c r="M672">
        <v>35</v>
      </c>
      <c r="N672">
        <v>56.12</v>
      </c>
      <c r="O672">
        <v>29567.95</v>
      </c>
      <c r="P672">
        <v>200.94</v>
      </c>
      <c r="Q672">
        <v>988.3</v>
      </c>
      <c r="R672">
        <v>60.25</v>
      </c>
      <c r="S672">
        <v>35.43</v>
      </c>
      <c r="T672">
        <v>11249.09</v>
      </c>
      <c r="U672">
        <v>0.59</v>
      </c>
      <c r="V672">
        <v>0.85</v>
      </c>
      <c r="W672">
        <v>3.02</v>
      </c>
      <c r="X672">
        <v>0.72</v>
      </c>
      <c r="Y672">
        <v>1</v>
      </c>
      <c r="Z672">
        <v>10</v>
      </c>
    </row>
    <row r="673" spans="1:26" x14ac:dyDescent="0.3">
      <c r="A673">
        <v>13</v>
      </c>
      <c r="B673">
        <v>120</v>
      </c>
      <c r="C673" t="s">
        <v>26</v>
      </c>
      <c r="D673">
        <v>5.6379999999999999</v>
      </c>
      <c r="E673">
        <v>17.739999999999998</v>
      </c>
      <c r="F673">
        <v>13.43</v>
      </c>
      <c r="G673">
        <v>23.03</v>
      </c>
      <c r="H673">
        <v>0.32</v>
      </c>
      <c r="I673">
        <v>35</v>
      </c>
      <c r="J673">
        <v>238.28</v>
      </c>
      <c r="K673">
        <v>57.72</v>
      </c>
      <c r="L673">
        <v>4.25</v>
      </c>
      <c r="M673">
        <v>33</v>
      </c>
      <c r="N673">
        <v>56.3</v>
      </c>
      <c r="O673">
        <v>29621.439999999999</v>
      </c>
      <c r="P673">
        <v>199.75</v>
      </c>
      <c r="Q673">
        <v>988.16</v>
      </c>
      <c r="R673">
        <v>58.84</v>
      </c>
      <c r="S673">
        <v>35.43</v>
      </c>
      <c r="T673">
        <v>10556.99</v>
      </c>
      <c r="U673">
        <v>0.6</v>
      </c>
      <c r="V673">
        <v>0.85</v>
      </c>
      <c r="W673">
        <v>3.02</v>
      </c>
      <c r="X673">
        <v>0.68</v>
      </c>
      <c r="Y673">
        <v>1</v>
      </c>
      <c r="Z673">
        <v>10</v>
      </c>
    </row>
    <row r="674" spans="1:26" x14ac:dyDescent="0.3">
      <c r="A674">
        <v>14</v>
      </c>
      <c r="B674">
        <v>120</v>
      </c>
      <c r="C674" t="s">
        <v>26</v>
      </c>
      <c r="D674">
        <v>5.6824000000000003</v>
      </c>
      <c r="E674">
        <v>17.600000000000001</v>
      </c>
      <c r="F674">
        <v>13.39</v>
      </c>
      <c r="G674">
        <v>24.34</v>
      </c>
      <c r="H674">
        <v>0.34</v>
      </c>
      <c r="I674">
        <v>33</v>
      </c>
      <c r="J674">
        <v>238.71</v>
      </c>
      <c r="K674">
        <v>57.72</v>
      </c>
      <c r="L674">
        <v>4.5</v>
      </c>
      <c r="M674">
        <v>31</v>
      </c>
      <c r="N674">
        <v>56.49</v>
      </c>
      <c r="O674">
        <v>29675.01</v>
      </c>
      <c r="P674">
        <v>198.07</v>
      </c>
      <c r="Q674">
        <v>988.23</v>
      </c>
      <c r="R674">
        <v>57.39</v>
      </c>
      <c r="S674">
        <v>35.43</v>
      </c>
      <c r="T674">
        <v>9839.7099999999991</v>
      </c>
      <c r="U674">
        <v>0.62</v>
      </c>
      <c r="V674">
        <v>0.85</v>
      </c>
      <c r="W674">
        <v>3.02</v>
      </c>
      <c r="X674">
        <v>0.63</v>
      </c>
      <c r="Y674">
        <v>1</v>
      </c>
      <c r="Z674">
        <v>10</v>
      </c>
    </row>
    <row r="675" spans="1:26" x14ac:dyDescent="0.3">
      <c r="A675">
        <v>15</v>
      </c>
      <c r="B675">
        <v>120</v>
      </c>
      <c r="C675" t="s">
        <v>26</v>
      </c>
      <c r="D675">
        <v>5.7209000000000003</v>
      </c>
      <c r="E675">
        <v>17.48</v>
      </c>
      <c r="F675">
        <v>13.36</v>
      </c>
      <c r="G675">
        <v>25.86</v>
      </c>
      <c r="H675">
        <v>0.35</v>
      </c>
      <c r="I675">
        <v>31</v>
      </c>
      <c r="J675">
        <v>239.14</v>
      </c>
      <c r="K675">
        <v>57.72</v>
      </c>
      <c r="L675">
        <v>4.75</v>
      </c>
      <c r="M675">
        <v>29</v>
      </c>
      <c r="N675">
        <v>56.67</v>
      </c>
      <c r="O675">
        <v>29728.63</v>
      </c>
      <c r="P675">
        <v>197.03</v>
      </c>
      <c r="Q675">
        <v>988.09</v>
      </c>
      <c r="R675">
        <v>56.74</v>
      </c>
      <c r="S675">
        <v>35.43</v>
      </c>
      <c r="T675">
        <v>9526.35</v>
      </c>
      <c r="U675">
        <v>0.62</v>
      </c>
      <c r="V675">
        <v>0.85</v>
      </c>
      <c r="W675">
        <v>3.01</v>
      </c>
      <c r="X675">
        <v>0.6</v>
      </c>
      <c r="Y675">
        <v>1</v>
      </c>
      <c r="Z675">
        <v>10</v>
      </c>
    </row>
    <row r="676" spans="1:26" x14ac:dyDescent="0.3">
      <c r="A676">
        <v>16</v>
      </c>
      <c r="B676">
        <v>120</v>
      </c>
      <c r="C676" t="s">
        <v>26</v>
      </c>
      <c r="D676">
        <v>5.7674000000000003</v>
      </c>
      <c r="E676">
        <v>17.34</v>
      </c>
      <c r="F676">
        <v>13.31</v>
      </c>
      <c r="G676">
        <v>27.54</v>
      </c>
      <c r="H676">
        <v>0.37</v>
      </c>
      <c r="I676">
        <v>29</v>
      </c>
      <c r="J676">
        <v>239.58</v>
      </c>
      <c r="K676">
        <v>57.72</v>
      </c>
      <c r="L676">
        <v>5</v>
      </c>
      <c r="M676">
        <v>27</v>
      </c>
      <c r="N676">
        <v>56.86</v>
      </c>
      <c r="O676">
        <v>29782.33</v>
      </c>
      <c r="P676">
        <v>195.35</v>
      </c>
      <c r="Q676">
        <v>988.08</v>
      </c>
      <c r="R676">
        <v>54.97</v>
      </c>
      <c r="S676">
        <v>35.43</v>
      </c>
      <c r="T676">
        <v>8651.6299999999992</v>
      </c>
      <c r="U676">
        <v>0.64</v>
      </c>
      <c r="V676">
        <v>0.86</v>
      </c>
      <c r="W676">
        <v>3.01</v>
      </c>
      <c r="X676">
        <v>0.56000000000000005</v>
      </c>
      <c r="Y676">
        <v>1</v>
      </c>
      <c r="Z676">
        <v>10</v>
      </c>
    </row>
    <row r="677" spans="1:26" x14ac:dyDescent="0.3">
      <c r="A677">
        <v>17</v>
      </c>
      <c r="B677">
        <v>120</v>
      </c>
      <c r="C677" t="s">
        <v>26</v>
      </c>
      <c r="D677">
        <v>5.7877000000000001</v>
      </c>
      <c r="E677">
        <v>17.28</v>
      </c>
      <c r="F677">
        <v>13.29</v>
      </c>
      <c r="G677">
        <v>28.49</v>
      </c>
      <c r="H677">
        <v>0.39</v>
      </c>
      <c r="I677">
        <v>28</v>
      </c>
      <c r="J677">
        <v>240.02</v>
      </c>
      <c r="K677">
        <v>57.72</v>
      </c>
      <c r="L677">
        <v>5.25</v>
      </c>
      <c r="M677">
        <v>26</v>
      </c>
      <c r="N677">
        <v>57.04</v>
      </c>
      <c r="O677">
        <v>29836.09</v>
      </c>
      <c r="P677">
        <v>194.38</v>
      </c>
      <c r="Q677">
        <v>988.11</v>
      </c>
      <c r="R677">
        <v>54.59</v>
      </c>
      <c r="S677">
        <v>35.43</v>
      </c>
      <c r="T677">
        <v>8466.7199999999993</v>
      </c>
      <c r="U677">
        <v>0.65</v>
      </c>
      <c r="V677">
        <v>0.86</v>
      </c>
      <c r="W677">
        <v>3.01</v>
      </c>
      <c r="X677">
        <v>0.54</v>
      </c>
      <c r="Y677">
        <v>1</v>
      </c>
      <c r="Z677">
        <v>10</v>
      </c>
    </row>
    <row r="678" spans="1:26" x14ac:dyDescent="0.3">
      <c r="A678">
        <v>18</v>
      </c>
      <c r="B678">
        <v>120</v>
      </c>
      <c r="C678" t="s">
        <v>26</v>
      </c>
      <c r="D678">
        <v>5.8113000000000001</v>
      </c>
      <c r="E678">
        <v>17.21</v>
      </c>
      <c r="F678">
        <v>13.27</v>
      </c>
      <c r="G678">
        <v>29.49</v>
      </c>
      <c r="H678">
        <v>0.41</v>
      </c>
      <c r="I678">
        <v>27</v>
      </c>
      <c r="J678">
        <v>240.45</v>
      </c>
      <c r="K678">
        <v>57.72</v>
      </c>
      <c r="L678">
        <v>5.5</v>
      </c>
      <c r="M678">
        <v>25</v>
      </c>
      <c r="N678">
        <v>57.23</v>
      </c>
      <c r="O678">
        <v>29890.04</v>
      </c>
      <c r="P678">
        <v>193.22</v>
      </c>
      <c r="Q678">
        <v>988.24</v>
      </c>
      <c r="R678">
        <v>53.58</v>
      </c>
      <c r="S678">
        <v>35.43</v>
      </c>
      <c r="T678">
        <v>7967.9</v>
      </c>
      <c r="U678">
        <v>0.66</v>
      </c>
      <c r="V678">
        <v>0.86</v>
      </c>
      <c r="W678">
        <v>3.01</v>
      </c>
      <c r="X678">
        <v>0.51</v>
      </c>
      <c r="Y678">
        <v>1</v>
      </c>
      <c r="Z678">
        <v>10</v>
      </c>
    </row>
    <row r="679" spans="1:26" x14ac:dyDescent="0.3">
      <c r="A679">
        <v>19</v>
      </c>
      <c r="B679">
        <v>120</v>
      </c>
      <c r="C679" t="s">
        <v>26</v>
      </c>
      <c r="D679">
        <v>5.8556999999999997</v>
      </c>
      <c r="E679">
        <v>17.079999999999998</v>
      </c>
      <c r="F679">
        <v>13.23</v>
      </c>
      <c r="G679">
        <v>31.75</v>
      </c>
      <c r="H679">
        <v>0.42</v>
      </c>
      <c r="I679">
        <v>25</v>
      </c>
      <c r="J679">
        <v>240.89</v>
      </c>
      <c r="K679">
        <v>57.72</v>
      </c>
      <c r="L679">
        <v>5.75</v>
      </c>
      <c r="M679">
        <v>23</v>
      </c>
      <c r="N679">
        <v>57.42</v>
      </c>
      <c r="O679">
        <v>29943.94</v>
      </c>
      <c r="P679">
        <v>191.89</v>
      </c>
      <c r="Q679">
        <v>988.1</v>
      </c>
      <c r="R679">
        <v>52.57</v>
      </c>
      <c r="S679">
        <v>35.43</v>
      </c>
      <c r="T679">
        <v>7469.13</v>
      </c>
      <c r="U679">
        <v>0.67</v>
      </c>
      <c r="V679">
        <v>0.86</v>
      </c>
      <c r="W679">
        <v>3</v>
      </c>
      <c r="X679">
        <v>0.48</v>
      </c>
      <c r="Y679">
        <v>1</v>
      </c>
      <c r="Z679">
        <v>10</v>
      </c>
    </row>
    <row r="680" spans="1:26" x14ac:dyDescent="0.3">
      <c r="A680">
        <v>20</v>
      </c>
      <c r="B680">
        <v>120</v>
      </c>
      <c r="C680" t="s">
        <v>26</v>
      </c>
      <c r="D680">
        <v>5.8764000000000003</v>
      </c>
      <c r="E680">
        <v>17.02</v>
      </c>
      <c r="F680">
        <v>13.21</v>
      </c>
      <c r="G680">
        <v>33.04</v>
      </c>
      <c r="H680">
        <v>0.44</v>
      </c>
      <c r="I680">
        <v>24</v>
      </c>
      <c r="J680">
        <v>241.33</v>
      </c>
      <c r="K680">
        <v>57.72</v>
      </c>
      <c r="L680">
        <v>6</v>
      </c>
      <c r="M680">
        <v>22</v>
      </c>
      <c r="N680">
        <v>57.6</v>
      </c>
      <c r="O680">
        <v>29997.9</v>
      </c>
      <c r="P680">
        <v>190.8</v>
      </c>
      <c r="Q680">
        <v>988.15</v>
      </c>
      <c r="R680">
        <v>52.07</v>
      </c>
      <c r="S680">
        <v>35.43</v>
      </c>
      <c r="T680">
        <v>7225.1</v>
      </c>
      <c r="U680">
        <v>0.68</v>
      </c>
      <c r="V680">
        <v>0.86</v>
      </c>
      <c r="W680">
        <v>3</v>
      </c>
      <c r="X680">
        <v>0.46</v>
      </c>
      <c r="Y680">
        <v>1</v>
      </c>
      <c r="Z680">
        <v>10</v>
      </c>
    </row>
    <row r="681" spans="1:26" x14ac:dyDescent="0.3">
      <c r="A681">
        <v>21</v>
      </c>
      <c r="B681">
        <v>120</v>
      </c>
      <c r="C681" t="s">
        <v>26</v>
      </c>
      <c r="D681">
        <v>5.8963000000000001</v>
      </c>
      <c r="E681">
        <v>16.96</v>
      </c>
      <c r="F681">
        <v>13.2</v>
      </c>
      <c r="G681">
        <v>34.44</v>
      </c>
      <c r="H681">
        <v>0.46</v>
      </c>
      <c r="I681">
        <v>23</v>
      </c>
      <c r="J681">
        <v>241.77</v>
      </c>
      <c r="K681">
        <v>57.72</v>
      </c>
      <c r="L681">
        <v>6.25</v>
      </c>
      <c r="M681">
        <v>21</v>
      </c>
      <c r="N681">
        <v>57.79</v>
      </c>
      <c r="O681">
        <v>30051.93</v>
      </c>
      <c r="P681">
        <v>189.89</v>
      </c>
      <c r="Q681">
        <v>988.18</v>
      </c>
      <c r="R681">
        <v>51.68</v>
      </c>
      <c r="S681">
        <v>35.43</v>
      </c>
      <c r="T681">
        <v>7037.07</v>
      </c>
      <c r="U681">
        <v>0.69</v>
      </c>
      <c r="V681">
        <v>0.86</v>
      </c>
      <c r="W681">
        <v>3</v>
      </c>
      <c r="X681">
        <v>0.45</v>
      </c>
      <c r="Y681">
        <v>1</v>
      </c>
      <c r="Z681">
        <v>10</v>
      </c>
    </row>
    <row r="682" spans="1:26" x14ac:dyDescent="0.3">
      <c r="A682">
        <v>22</v>
      </c>
      <c r="B682">
        <v>120</v>
      </c>
      <c r="C682" t="s">
        <v>26</v>
      </c>
      <c r="D682">
        <v>5.9245000000000001</v>
      </c>
      <c r="E682">
        <v>16.88</v>
      </c>
      <c r="F682">
        <v>13.17</v>
      </c>
      <c r="G682">
        <v>35.909999999999997</v>
      </c>
      <c r="H682">
        <v>0.48</v>
      </c>
      <c r="I682">
        <v>22</v>
      </c>
      <c r="J682">
        <v>242.2</v>
      </c>
      <c r="K682">
        <v>57.72</v>
      </c>
      <c r="L682">
        <v>6.5</v>
      </c>
      <c r="M682">
        <v>20</v>
      </c>
      <c r="N682">
        <v>57.98</v>
      </c>
      <c r="O682">
        <v>30106.03</v>
      </c>
      <c r="P682">
        <v>188.62</v>
      </c>
      <c r="Q682">
        <v>988.14</v>
      </c>
      <c r="R682">
        <v>50.62</v>
      </c>
      <c r="S682">
        <v>35.43</v>
      </c>
      <c r="T682">
        <v>6509.31</v>
      </c>
      <c r="U682">
        <v>0.7</v>
      </c>
      <c r="V682">
        <v>0.87</v>
      </c>
      <c r="W682">
        <v>3</v>
      </c>
      <c r="X682">
        <v>0.41</v>
      </c>
      <c r="Y682">
        <v>1</v>
      </c>
      <c r="Z682">
        <v>10</v>
      </c>
    </row>
    <row r="683" spans="1:26" x14ac:dyDescent="0.3">
      <c r="A683">
        <v>23</v>
      </c>
      <c r="B683">
        <v>120</v>
      </c>
      <c r="C683" t="s">
        <v>26</v>
      </c>
      <c r="D683">
        <v>5.9421999999999997</v>
      </c>
      <c r="E683">
        <v>16.829999999999998</v>
      </c>
      <c r="F683">
        <v>13.16</v>
      </c>
      <c r="G683">
        <v>37.61</v>
      </c>
      <c r="H683">
        <v>0.49</v>
      </c>
      <c r="I683">
        <v>21</v>
      </c>
      <c r="J683">
        <v>242.64</v>
      </c>
      <c r="K683">
        <v>57.72</v>
      </c>
      <c r="L683">
        <v>6.75</v>
      </c>
      <c r="M683">
        <v>19</v>
      </c>
      <c r="N683">
        <v>58.17</v>
      </c>
      <c r="O683">
        <v>30160.2</v>
      </c>
      <c r="P683">
        <v>187.71</v>
      </c>
      <c r="Q683">
        <v>988.13</v>
      </c>
      <c r="R683">
        <v>50.39</v>
      </c>
      <c r="S683">
        <v>35.43</v>
      </c>
      <c r="T683">
        <v>6402.4</v>
      </c>
      <c r="U683">
        <v>0.7</v>
      </c>
      <c r="V683">
        <v>0.87</v>
      </c>
      <c r="W683">
        <v>3</v>
      </c>
      <c r="X683">
        <v>0.41</v>
      </c>
      <c r="Y683">
        <v>1</v>
      </c>
      <c r="Z683">
        <v>10</v>
      </c>
    </row>
    <row r="684" spans="1:26" x14ac:dyDescent="0.3">
      <c r="A684">
        <v>24</v>
      </c>
      <c r="B684">
        <v>120</v>
      </c>
      <c r="C684" t="s">
        <v>26</v>
      </c>
      <c r="D684">
        <v>5.9469000000000003</v>
      </c>
      <c r="E684">
        <v>16.82</v>
      </c>
      <c r="F684">
        <v>13.15</v>
      </c>
      <c r="G684">
        <v>37.57</v>
      </c>
      <c r="H684">
        <v>0.51</v>
      </c>
      <c r="I684">
        <v>21</v>
      </c>
      <c r="J684">
        <v>243.08</v>
      </c>
      <c r="K684">
        <v>57.72</v>
      </c>
      <c r="L684">
        <v>7</v>
      </c>
      <c r="M684">
        <v>19</v>
      </c>
      <c r="N684">
        <v>58.36</v>
      </c>
      <c r="O684">
        <v>30214.44</v>
      </c>
      <c r="P684">
        <v>186.65</v>
      </c>
      <c r="Q684">
        <v>988.2</v>
      </c>
      <c r="R684">
        <v>50</v>
      </c>
      <c r="S684">
        <v>35.43</v>
      </c>
      <c r="T684">
        <v>6206.73</v>
      </c>
      <c r="U684">
        <v>0.71</v>
      </c>
      <c r="V684">
        <v>0.87</v>
      </c>
      <c r="W684">
        <v>3</v>
      </c>
      <c r="X684">
        <v>0.4</v>
      </c>
      <c r="Y684">
        <v>1</v>
      </c>
      <c r="Z684">
        <v>10</v>
      </c>
    </row>
    <row r="685" spans="1:26" x14ac:dyDescent="0.3">
      <c r="A685">
        <v>25</v>
      </c>
      <c r="B685">
        <v>120</v>
      </c>
      <c r="C685" t="s">
        <v>26</v>
      </c>
      <c r="D685">
        <v>5.9726999999999997</v>
      </c>
      <c r="E685">
        <v>16.739999999999998</v>
      </c>
      <c r="F685">
        <v>13.12</v>
      </c>
      <c r="G685">
        <v>39.369999999999997</v>
      </c>
      <c r="H685">
        <v>0.53</v>
      </c>
      <c r="I685">
        <v>20</v>
      </c>
      <c r="J685">
        <v>243.52</v>
      </c>
      <c r="K685">
        <v>57.72</v>
      </c>
      <c r="L685">
        <v>7.25</v>
      </c>
      <c r="M685">
        <v>18</v>
      </c>
      <c r="N685">
        <v>58.55</v>
      </c>
      <c r="O685">
        <v>30268.74</v>
      </c>
      <c r="P685">
        <v>185.61</v>
      </c>
      <c r="Q685">
        <v>988.11</v>
      </c>
      <c r="R685">
        <v>49.12</v>
      </c>
      <c r="S685">
        <v>35.43</v>
      </c>
      <c r="T685">
        <v>5772.79</v>
      </c>
      <c r="U685">
        <v>0.72</v>
      </c>
      <c r="V685">
        <v>0.87</v>
      </c>
      <c r="W685">
        <v>3</v>
      </c>
      <c r="X685">
        <v>0.37</v>
      </c>
      <c r="Y685">
        <v>1</v>
      </c>
      <c r="Z685">
        <v>10</v>
      </c>
    </row>
    <row r="686" spans="1:26" x14ac:dyDescent="0.3">
      <c r="A686">
        <v>26</v>
      </c>
      <c r="B686">
        <v>120</v>
      </c>
      <c r="C686" t="s">
        <v>26</v>
      </c>
      <c r="D686">
        <v>5.9936999999999996</v>
      </c>
      <c r="E686">
        <v>16.68</v>
      </c>
      <c r="F686">
        <v>13.11</v>
      </c>
      <c r="G686">
        <v>41.4</v>
      </c>
      <c r="H686">
        <v>0.55000000000000004</v>
      </c>
      <c r="I686">
        <v>19</v>
      </c>
      <c r="J686">
        <v>243.96</v>
      </c>
      <c r="K686">
        <v>57.72</v>
      </c>
      <c r="L686">
        <v>7.5</v>
      </c>
      <c r="M686">
        <v>17</v>
      </c>
      <c r="N686">
        <v>58.74</v>
      </c>
      <c r="O686">
        <v>30323.11</v>
      </c>
      <c r="P686">
        <v>184.6</v>
      </c>
      <c r="Q686">
        <v>988.13</v>
      </c>
      <c r="R686">
        <v>48.85</v>
      </c>
      <c r="S686">
        <v>35.43</v>
      </c>
      <c r="T686">
        <v>5640.79</v>
      </c>
      <c r="U686">
        <v>0.73</v>
      </c>
      <c r="V686">
        <v>0.87</v>
      </c>
      <c r="W686">
        <v>2.99</v>
      </c>
      <c r="X686">
        <v>0.36</v>
      </c>
      <c r="Y686">
        <v>1</v>
      </c>
      <c r="Z686">
        <v>10</v>
      </c>
    </row>
    <row r="687" spans="1:26" x14ac:dyDescent="0.3">
      <c r="A687">
        <v>27</v>
      </c>
      <c r="B687">
        <v>120</v>
      </c>
      <c r="C687" t="s">
        <v>26</v>
      </c>
      <c r="D687">
        <v>6.0148999999999999</v>
      </c>
      <c r="E687">
        <v>16.63</v>
      </c>
      <c r="F687">
        <v>13.1</v>
      </c>
      <c r="G687">
        <v>43.65</v>
      </c>
      <c r="H687">
        <v>0.56000000000000005</v>
      </c>
      <c r="I687">
        <v>18</v>
      </c>
      <c r="J687">
        <v>244.41</v>
      </c>
      <c r="K687">
        <v>57.72</v>
      </c>
      <c r="L687">
        <v>7.75</v>
      </c>
      <c r="M687">
        <v>16</v>
      </c>
      <c r="N687">
        <v>58.93</v>
      </c>
      <c r="O687">
        <v>30377.55</v>
      </c>
      <c r="P687">
        <v>183.43</v>
      </c>
      <c r="Q687">
        <v>988.1</v>
      </c>
      <c r="R687">
        <v>48.41</v>
      </c>
      <c r="S687">
        <v>35.43</v>
      </c>
      <c r="T687">
        <v>5425.19</v>
      </c>
      <c r="U687">
        <v>0.73</v>
      </c>
      <c r="V687">
        <v>0.87</v>
      </c>
      <c r="W687">
        <v>2.99</v>
      </c>
      <c r="X687">
        <v>0.34</v>
      </c>
      <c r="Y687">
        <v>1</v>
      </c>
      <c r="Z687">
        <v>10</v>
      </c>
    </row>
    <row r="688" spans="1:26" x14ac:dyDescent="0.3">
      <c r="A688">
        <v>28</v>
      </c>
      <c r="B688">
        <v>120</v>
      </c>
      <c r="C688" t="s">
        <v>26</v>
      </c>
      <c r="D688">
        <v>6.0163000000000002</v>
      </c>
      <c r="E688">
        <v>16.62</v>
      </c>
      <c r="F688">
        <v>13.09</v>
      </c>
      <c r="G688">
        <v>43.64</v>
      </c>
      <c r="H688">
        <v>0.57999999999999996</v>
      </c>
      <c r="I688">
        <v>18</v>
      </c>
      <c r="J688">
        <v>244.85</v>
      </c>
      <c r="K688">
        <v>57.72</v>
      </c>
      <c r="L688">
        <v>8</v>
      </c>
      <c r="M688">
        <v>16</v>
      </c>
      <c r="N688">
        <v>59.12</v>
      </c>
      <c r="O688">
        <v>30432.06</v>
      </c>
      <c r="P688">
        <v>182.51</v>
      </c>
      <c r="Q688">
        <v>988.17</v>
      </c>
      <c r="R688">
        <v>48.23</v>
      </c>
      <c r="S688">
        <v>35.43</v>
      </c>
      <c r="T688">
        <v>5338.23</v>
      </c>
      <c r="U688">
        <v>0.73</v>
      </c>
      <c r="V688">
        <v>0.87</v>
      </c>
      <c r="W688">
        <v>2.99</v>
      </c>
      <c r="X688">
        <v>0.34</v>
      </c>
      <c r="Y688">
        <v>1</v>
      </c>
      <c r="Z688">
        <v>10</v>
      </c>
    </row>
    <row r="689" spans="1:26" x14ac:dyDescent="0.3">
      <c r="A689">
        <v>29</v>
      </c>
      <c r="B689">
        <v>120</v>
      </c>
      <c r="C689" t="s">
        <v>26</v>
      </c>
      <c r="D689">
        <v>6.0426000000000002</v>
      </c>
      <c r="E689">
        <v>16.55</v>
      </c>
      <c r="F689">
        <v>13.07</v>
      </c>
      <c r="G689">
        <v>46.11</v>
      </c>
      <c r="H689">
        <v>0.6</v>
      </c>
      <c r="I689">
        <v>17</v>
      </c>
      <c r="J689">
        <v>245.29</v>
      </c>
      <c r="K689">
        <v>57.72</v>
      </c>
      <c r="L689">
        <v>8.25</v>
      </c>
      <c r="M689">
        <v>15</v>
      </c>
      <c r="N689">
        <v>59.32</v>
      </c>
      <c r="O689">
        <v>30486.639999999999</v>
      </c>
      <c r="P689">
        <v>180.48</v>
      </c>
      <c r="Q689">
        <v>988.16</v>
      </c>
      <c r="R689">
        <v>47.43</v>
      </c>
      <c r="S689">
        <v>35.43</v>
      </c>
      <c r="T689">
        <v>4941.88</v>
      </c>
      <c r="U689">
        <v>0.75</v>
      </c>
      <c r="V689">
        <v>0.87</v>
      </c>
      <c r="W689">
        <v>2.99</v>
      </c>
      <c r="X689">
        <v>0.31</v>
      </c>
      <c r="Y689">
        <v>1</v>
      </c>
      <c r="Z689">
        <v>10</v>
      </c>
    </row>
    <row r="690" spans="1:26" x14ac:dyDescent="0.3">
      <c r="A690">
        <v>30</v>
      </c>
      <c r="B690">
        <v>120</v>
      </c>
      <c r="C690" t="s">
        <v>26</v>
      </c>
      <c r="D690">
        <v>6.0392000000000001</v>
      </c>
      <c r="E690">
        <v>16.559999999999999</v>
      </c>
      <c r="F690">
        <v>13.08</v>
      </c>
      <c r="G690">
        <v>46.15</v>
      </c>
      <c r="H690">
        <v>0.62</v>
      </c>
      <c r="I690">
        <v>17</v>
      </c>
      <c r="J690">
        <v>245.73</v>
      </c>
      <c r="K690">
        <v>57.72</v>
      </c>
      <c r="L690">
        <v>8.5</v>
      </c>
      <c r="M690">
        <v>15</v>
      </c>
      <c r="N690">
        <v>59.51</v>
      </c>
      <c r="O690">
        <v>30541.29</v>
      </c>
      <c r="P690">
        <v>179.83</v>
      </c>
      <c r="Q690">
        <v>988.1</v>
      </c>
      <c r="R690">
        <v>47.63</v>
      </c>
      <c r="S690">
        <v>35.43</v>
      </c>
      <c r="T690">
        <v>5041.99</v>
      </c>
      <c r="U690">
        <v>0.74</v>
      </c>
      <c r="V690">
        <v>0.87</v>
      </c>
      <c r="W690">
        <v>3</v>
      </c>
      <c r="X690">
        <v>0.32</v>
      </c>
      <c r="Y690">
        <v>1</v>
      </c>
      <c r="Z690">
        <v>10</v>
      </c>
    </row>
    <row r="691" spans="1:26" x14ac:dyDescent="0.3">
      <c r="A691">
        <v>31</v>
      </c>
      <c r="B691">
        <v>120</v>
      </c>
      <c r="C691" t="s">
        <v>26</v>
      </c>
      <c r="D691">
        <v>6.0618999999999996</v>
      </c>
      <c r="E691">
        <v>16.5</v>
      </c>
      <c r="F691">
        <v>13.06</v>
      </c>
      <c r="G691">
        <v>48.97</v>
      </c>
      <c r="H691">
        <v>0.63</v>
      </c>
      <c r="I691">
        <v>16</v>
      </c>
      <c r="J691">
        <v>246.18</v>
      </c>
      <c r="K691">
        <v>57.72</v>
      </c>
      <c r="L691">
        <v>8.75</v>
      </c>
      <c r="M691">
        <v>14</v>
      </c>
      <c r="N691">
        <v>59.7</v>
      </c>
      <c r="O691">
        <v>30596.01</v>
      </c>
      <c r="P691">
        <v>179.57</v>
      </c>
      <c r="Q691">
        <v>988.34</v>
      </c>
      <c r="R691">
        <v>47.08</v>
      </c>
      <c r="S691">
        <v>35.43</v>
      </c>
      <c r="T691">
        <v>4769.53</v>
      </c>
      <c r="U691">
        <v>0.75</v>
      </c>
      <c r="V691">
        <v>0.87</v>
      </c>
      <c r="W691">
        <v>2.99</v>
      </c>
      <c r="X691">
        <v>0.3</v>
      </c>
      <c r="Y691">
        <v>1</v>
      </c>
      <c r="Z691">
        <v>10</v>
      </c>
    </row>
    <row r="692" spans="1:26" x14ac:dyDescent="0.3">
      <c r="A692">
        <v>32</v>
      </c>
      <c r="B692">
        <v>120</v>
      </c>
      <c r="C692" t="s">
        <v>26</v>
      </c>
      <c r="D692">
        <v>6.0624000000000002</v>
      </c>
      <c r="E692">
        <v>16.5</v>
      </c>
      <c r="F692">
        <v>13.06</v>
      </c>
      <c r="G692">
        <v>48.96</v>
      </c>
      <c r="H692">
        <v>0.65</v>
      </c>
      <c r="I692">
        <v>16</v>
      </c>
      <c r="J692">
        <v>246.62</v>
      </c>
      <c r="K692">
        <v>57.72</v>
      </c>
      <c r="L692">
        <v>9</v>
      </c>
      <c r="M692">
        <v>14</v>
      </c>
      <c r="N692">
        <v>59.9</v>
      </c>
      <c r="O692">
        <v>30650.799999999999</v>
      </c>
      <c r="P692">
        <v>178.35</v>
      </c>
      <c r="Q692">
        <v>988.25</v>
      </c>
      <c r="R692">
        <v>47.29</v>
      </c>
      <c r="S692">
        <v>35.43</v>
      </c>
      <c r="T692">
        <v>4876.05</v>
      </c>
      <c r="U692">
        <v>0.75</v>
      </c>
      <c r="V692">
        <v>0.87</v>
      </c>
      <c r="W692">
        <v>2.99</v>
      </c>
      <c r="X692">
        <v>0.3</v>
      </c>
      <c r="Y692">
        <v>1</v>
      </c>
      <c r="Z692">
        <v>10</v>
      </c>
    </row>
    <row r="693" spans="1:26" x14ac:dyDescent="0.3">
      <c r="A693">
        <v>33</v>
      </c>
      <c r="B693">
        <v>120</v>
      </c>
      <c r="C693" t="s">
        <v>26</v>
      </c>
      <c r="D693">
        <v>6.0849000000000002</v>
      </c>
      <c r="E693">
        <v>16.43</v>
      </c>
      <c r="F693">
        <v>13.04</v>
      </c>
      <c r="G693">
        <v>52.17</v>
      </c>
      <c r="H693">
        <v>0.67</v>
      </c>
      <c r="I693">
        <v>15</v>
      </c>
      <c r="J693">
        <v>247.07</v>
      </c>
      <c r="K693">
        <v>57.72</v>
      </c>
      <c r="L693">
        <v>9.25</v>
      </c>
      <c r="M693">
        <v>13</v>
      </c>
      <c r="N693">
        <v>60.09</v>
      </c>
      <c r="O693">
        <v>30705.66</v>
      </c>
      <c r="P693">
        <v>177.22</v>
      </c>
      <c r="Q693">
        <v>988.11</v>
      </c>
      <c r="R693">
        <v>46.74</v>
      </c>
      <c r="S693">
        <v>35.43</v>
      </c>
      <c r="T693">
        <v>4608.3500000000004</v>
      </c>
      <c r="U693">
        <v>0.76</v>
      </c>
      <c r="V693">
        <v>0.87</v>
      </c>
      <c r="W693">
        <v>2.99</v>
      </c>
      <c r="X693">
        <v>0.28999999999999998</v>
      </c>
      <c r="Y693">
        <v>1</v>
      </c>
      <c r="Z693">
        <v>10</v>
      </c>
    </row>
    <row r="694" spans="1:26" x14ac:dyDescent="0.3">
      <c r="A694">
        <v>34</v>
      </c>
      <c r="B694">
        <v>120</v>
      </c>
      <c r="C694" t="s">
        <v>26</v>
      </c>
      <c r="D694">
        <v>6.0902000000000003</v>
      </c>
      <c r="E694">
        <v>16.420000000000002</v>
      </c>
      <c r="F694">
        <v>13.03</v>
      </c>
      <c r="G694">
        <v>52.11</v>
      </c>
      <c r="H694">
        <v>0.68</v>
      </c>
      <c r="I694">
        <v>15</v>
      </c>
      <c r="J694">
        <v>247.51</v>
      </c>
      <c r="K694">
        <v>57.72</v>
      </c>
      <c r="L694">
        <v>9.5</v>
      </c>
      <c r="M694">
        <v>13</v>
      </c>
      <c r="N694">
        <v>60.29</v>
      </c>
      <c r="O694">
        <v>30760.6</v>
      </c>
      <c r="P694">
        <v>176.31</v>
      </c>
      <c r="Q694">
        <v>988.28</v>
      </c>
      <c r="R694">
        <v>46.25</v>
      </c>
      <c r="S694">
        <v>35.43</v>
      </c>
      <c r="T694">
        <v>4359.43</v>
      </c>
      <c r="U694">
        <v>0.77</v>
      </c>
      <c r="V694">
        <v>0.87</v>
      </c>
      <c r="W694">
        <v>2.99</v>
      </c>
      <c r="X694">
        <v>0.27</v>
      </c>
      <c r="Y694">
        <v>1</v>
      </c>
      <c r="Z694">
        <v>10</v>
      </c>
    </row>
    <row r="695" spans="1:26" x14ac:dyDescent="0.3">
      <c r="A695">
        <v>35</v>
      </c>
      <c r="B695">
        <v>120</v>
      </c>
      <c r="C695" t="s">
        <v>26</v>
      </c>
      <c r="D695">
        <v>6.1142000000000003</v>
      </c>
      <c r="E695">
        <v>16.36</v>
      </c>
      <c r="F695">
        <v>13.01</v>
      </c>
      <c r="G695">
        <v>55.75</v>
      </c>
      <c r="H695">
        <v>0.7</v>
      </c>
      <c r="I695">
        <v>14</v>
      </c>
      <c r="J695">
        <v>247.96</v>
      </c>
      <c r="K695">
        <v>57.72</v>
      </c>
      <c r="L695">
        <v>9.75</v>
      </c>
      <c r="M695">
        <v>12</v>
      </c>
      <c r="N695">
        <v>60.48</v>
      </c>
      <c r="O695">
        <v>30815.599999999999</v>
      </c>
      <c r="P695">
        <v>174.91</v>
      </c>
      <c r="Q695">
        <v>988.08</v>
      </c>
      <c r="R695">
        <v>45.57</v>
      </c>
      <c r="S695">
        <v>35.43</v>
      </c>
      <c r="T695">
        <v>4025.04</v>
      </c>
      <c r="U695">
        <v>0.78</v>
      </c>
      <c r="V695">
        <v>0.88</v>
      </c>
      <c r="W695">
        <v>2.99</v>
      </c>
      <c r="X695">
        <v>0.26</v>
      </c>
      <c r="Y695">
        <v>1</v>
      </c>
      <c r="Z695">
        <v>10</v>
      </c>
    </row>
    <row r="696" spans="1:26" x14ac:dyDescent="0.3">
      <c r="A696">
        <v>36</v>
      </c>
      <c r="B696">
        <v>120</v>
      </c>
      <c r="C696" t="s">
        <v>26</v>
      </c>
      <c r="D696">
        <v>6.1146000000000003</v>
      </c>
      <c r="E696">
        <v>16.350000000000001</v>
      </c>
      <c r="F696">
        <v>13.01</v>
      </c>
      <c r="G696">
        <v>55.75</v>
      </c>
      <c r="H696">
        <v>0.72</v>
      </c>
      <c r="I696">
        <v>14</v>
      </c>
      <c r="J696">
        <v>248.4</v>
      </c>
      <c r="K696">
        <v>57.72</v>
      </c>
      <c r="L696">
        <v>10</v>
      </c>
      <c r="M696">
        <v>12</v>
      </c>
      <c r="N696">
        <v>60.68</v>
      </c>
      <c r="O696">
        <v>30870.67</v>
      </c>
      <c r="P696">
        <v>174.65</v>
      </c>
      <c r="Q696">
        <v>988.08</v>
      </c>
      <c r="R696">
        <v>45.69</v>
      </c>
      <c r="S696">
        <v>35.43</v>
      </c>
      <c r="T696">
        <v>4086.99</v>
      </c>
      <c r="U696">
        <v>0.78</v>
      </c>
      <c r="V696">
        <v>0.88</v>
      </c>
      <c r="W696">
        <v>2.99</v>
      </c>
      <c r="X696">
        <v>0.25</v>
      </c>
      <c r="Y696">
        <v>1</v>
      </c>
      <c r="Z696">
        <v>10</v>
      </c>
    </row>
    <row r="697" spans="1:26" x14ac:dyDescent="0.3">
      <c r="A697">
        <v>37</v>
      </c>
      <c r="B697">
        <v>120</v>
      </c>
      <c r="C697" t="s">
        <v>26</v>
      </c>
      <c r="D697">
        <v>6.1420000000000003</v>
      </c>
      <c r="E697">
        <v>16.28</v>
      </c>
      <c r="F697">
        <v>12.98</v>
      </c>
      <c r="G697">
        <v>59.91</v>
      </c>
      <c r="H697">
        <v>0.73</v>
      </c>
      <c r="I697">
        <v>13</v>
      </c>
      <c r="J697">
        <v>248.85</v>
      </c>
      <c r="K697">
        <v>57.72</v>
      </c>
      <c r="L697">
        <v>10.25</v>
      </c>
      <c r="M697">
        <v>11</v>
      </c>
      <c r="N697">
        <v>60.88</v>
      </c>
      <c r="O697">
        <v>30925.82</v>
      </c>
      <c r="P697">
        <v>171.94</v>
      </c>
      <c r="Q697">
        <v>988.08</v>
      </c>
      <c r="R697">
        <v>44.81</v>
      </c>
      <c r="S697">
        <v>35.43</v>
      </c>
      <c r="T697">
        <v>3650.78</v>
      </c>
      <c r="U697">
        <v>0.79</v>
      </c>
      <c r="V697">
        <v>0.88</v>
      </c>
      <c r="W697">
        <v>2.98</v>
      </c>
      <c r="X697">
        <v>0.23</v>
      </c>
      <c r="Y697">
        <v>1</v>
      </c>
      <c r="Z697">
        <v>10</v>
      </c>
    </row>
    <row r="698" spans="1:26" x14ac:dyDescent="0.3">
      <c r="A698">
        <v>38</v>
      </c>
      <c r="B698">
        <v>120</v>
      </c>
      <c r="C698" t="s">
        <v>26</v>
      </c>
      <c r="D698">
        <v>6.1353</v>
      </c>
      <c r="E698">
        <v>16.3</v>
      </c>
      <c r="F698">
        <v>13</v>
      </c>
      <c r="G698">
        <v>59.99</v>
      </c>
      <c r="H698">
        <v>0.75</v>
      </c>
      <c r="I698">
        <v>13</v>
      </c>
      <c r="J698">
        <v>249.3</v>
      </c>
      <c r="K698">
        <v>57.72</v>
      </c>
      <c r="L698">
        <v>10.5</v>
      </c>
      <c r="M698">
        <v>11</v>
      </c>
      <c r="N698">
        <v>61.07</v>
      </c>
      <c r="O698">
        <v>30981.040000000001</v>
      </c>
      <c r="P698">
        <v>171.68</v>
      </c>
      <c r="Q698">
        <v>988.13</v>
      </c>
      <c r="R698">
        <v>45.48</v>
      </c>
      <c r="S698">
        <v>35.43</v>
      </c>
      <c r="T698">
        <v>3986.87</v>
      </c>
      <c r="U698">
        <v>0.78</v>
      </c>
      <c r="V698">
        <v>0.88</v>
      </c>
      <c r="W698">
        <v>2.98</v>
      </c>
      <c r="X698">
        <v>0.24</v>
      </c>
      <c r="Y698">
        <v>1</v>
      </c>
      <c r="Z698">
        <v>10</v>
      </c>
    </row>
    <row r="699" spans="1:26" x14ac:dyDescent="0.3">
      <c r="A699">
        <v>39</v>
      </c>
      <c r="B699">
        <v>120</v>
      </c>
      <c r="C699" t="s">
        <v>26</v>
      </c>
      <c r="D699">
        <v>6.1360999999999999</v>
      </c>
      <c r="E699">
        <v>16.3</v>
      </c>
      <c r="F699">
        <v>13</v>
      </c>
      <c r="G699">
        <v>59.98</v>
      </c>
      <c r="H699">
        <v>0.77</v>
      </c>
      <c r="I699">
        <v>13</v>
      </c>
      <c r="J699">
        <v>249.75</v>
      </c>
      <c r="K699">
        <v>57.72</v>
      </c>
      <c r="L699">
        <v>10.75</v>
      </c>
      <c r="M699">
        <v>11</v>
      </c>
      <c r="N699">
        <v>61.27</v>
      </c>
      <c r="O699">
        <v>31036.33</v>
      </c>
      <c r="P699">
        <v>171.55</v>
      </c>
      <c r="Q699">
        <v>988.14</v>
      </c>
      <c r="R699">
        <v>45.31</v>
      </c>
      <c r="S699">
        <v>35.43</v>
      </c>
      <c r="T699">
        <v>3899.09</v>
      </c>
      <c r="U699">
        <v>0.78</v>
      </c>
      <c r="V699">
        <v>0.88</v>
      </c>
      <c r="W699">
        <v>2.98</v>
      </c>
      <c r="X699">
        <v>0.24</v>
      </c>
      <c r="Y699">
        <v>1</v>
      </c>
      <c r="Z699">
        <v>10</v>
      </c>
    </row>
    <row r="700" spans="1:26" x14ac:dyDescent="0.3">
      <c r="A700">
        <v>40</v>
      </c>
      <c r="B700">
        <v>120</v>
      </c>
      <c r="C700" t="s">
        <v>26</v>
      </c>
      <c r="D700">
        <v>6.1624999999999996</v>
      </c>
      <c r="E700">
        <v>16.23</v>
      </c>
      <c r="F700">
        <v>12.97</v>
      </c>
      <c r="G700">
        <v>64.86</v>
      </c>
      <c r="H700">
        <v>0.78</v>
      </c>
      <c r="I700">
        <v>12</v>
      </c>
      <c r="J700">
        <v>250.2</v>
      </c>
      <c r="K700">
        <v>57.72</v>
      </c>
      <c r="L700">
        <v>11</v>
      </c>
      <c r="M700">
        <v>10</v>
      </c>
      <c r="N700">
        <v>61.47</v>
      </c>
      <c r="O700">
        <v>31091.69</v>
      </c>
      <c r="P700">
        <v>168.98</v>
      </c>
      <c r="Q700">
        <v>988.12</v>
      </c>
      <c r="R700">
        <v>44.5</v>
      </c>
      <c r="S700">
        <v>35.43</v>
      </c>
      <c r="T700">
        <v>3499.64</v>
      </c>
      <c r="U700">
        <v>0.8</v>
      </c>
      <c r="V700">
        <v>0.88</v>
      </c>
      <c r="W700">
        <v>2.98</v>
      </c>
      <c r="X700">
        <v>0.22</v>
      </c>
      <c r="Y700">
        <v>1</v>
      </c>
      <c r="Z700">
        <v>10</v>
      </c>
    </row>
    <row r="701" spans="1:26" x14ac:dyDescent="0.3">
      <c r="A701">
        <v>41</v>
      </c>
      <c r="B701">
        <v>120</v>
      </c>
      <c r="C701" t="s">
        <v>26</v>
      </c>
      <c r="D701">
        <v>6.1638000000000002</v>
      </c>
      <c r="E701">
        <v>16.22</v>
      </c>
      <c r="F701">
        <v>12.97</v>
      </c>
      <c r="G701">
        <v>64.84</v>
      </c>
      <c r="H701">
        <v>0.8</v>
      </c>
      <c r="I701">
        <v>12</v>
      </c>
      <c r="J701">
        <v>250.65</v>
      </c>
      <c r="K701">
        <v>57.72</v>
      </c>
      <c r="L701">
        <v>11.25</v>
      </c>
      <c r="M701">
        <v>10</v>
      </c>
      <c r="N701">
        <v>61.67</v>
      </c>
      <c r="O701">
        <v>31147.119999999999</v>
      </c>
      <c r="P701">
        <v>168.56</v>
      </c>
      <c r="Q701">
        <v>988.08</v>
      </c>
      <c r="R701">
        <v>44.46</v>
      </c>
      <c r="S701">
        <v>35.43</v>
      </c>
      <c r="T701">
        <v>3482.63</v>
      </c>
      <c r="U701">
        <v>0.8</v>
      </c>
      <c r="V701">
        <v>0.88</v>
      </c>
      <c r="W701">
        <v>2.98</v>
      </c>
      <c r="X701">
        <v>0.21</v>
      </c>
      <c r="Y701">
        <v>1</v>
      </c>
      <c r="Z701">
        <v>10</v>
      </c>
    </row>
    <row r="702" spans="1:26" x14ac:dyDescent="0.3">
      <c r="A702">
        <v>42</v>
      </c>
      <c r="B702">
        <v>120</v>
      </c>
      <c r="C702" t="s">
        <v>26</v>
      </c>
      <c r="D702">
        <v>6.1673999999999998</v>
      </c>
      <c r="E702">
        <v>16.21</v>
      </c>
      <c r="F702">
        <v>12.96</v>
      </c>
      <c r="G702">
        <v>64.790000000000006</v>
      </c>
      <c r="H702">
        <v>0.81</v>
      </c>
      <c r="I702">
        <v>12</v>
      </c>
      <c r="J702">
        <v>251.1</v>
      </c>
      <c r="K702">
        <v>57.72</v>
      </c>
      <c r="L702">
        <v>11.5</v>
      </c>
      <c r="M702">
        <v>10</v>
      </c>
      <c r="N702">
        <v>61.87</v>
      </c>
      <c r="O702">
        <v>31202.63</v>
      </c>
      <c r="P702">
        <v>167.81</v>
      </c>
      <c r="Q702">
        <v>988.15</v>
      </c>
      <c r="R702">
        <v>44.08</v>
      </c>
      <c r="S702">
        <v>35.43</v>
      </c>
      <c r="T702">
        <v>3291.46</v>
      </c>
      <c r="U702">
        <v>0.8</v>
      </c>
      <c r="V702">
        <v>0.88</v>
      </c>
      <c r="W702">
        <v>2.98</v>
      </c>
      <c r="X702">
        <v>0.2</v>
      </c>
      <c r="Y702">
        <v>1</v>
      </c>
      <c r="Z702">
        <v>10</v>
      </c>
    </row>
    <row r="703" spans="1:26" x14ac:dyDescent="0.3">
      <c r="A703">
        <v>43</v>
      </c>
      <c r="B703">
        <v>120</v>
      </c>
      <c r="C703" t="s">
        <v>26</v>
      </c>
      <c r="D703">
        <v>6.1615000000000002</v>
      </c>
      <c r="E703">
        <v>16.23</v>
      </c>
      <c r="F703">
        <v>12.97</v>
      </c>
      <c r="G703">
        <v>64.87</v>
      </c>
      <c r="H703">
        <v>0.83</v>
      </c>
      <c r="I703">
        <v>12</v>
      </c>
      <c r="J703">
        <v>251.55</v>
      </c>
      <c r="K703">
        <v>57.72</v>
      </c>
      <c r="L703">
        <v>11.75</v>
      </c>
      <c r="M703">
        <v>10</v>
      </c>
      <c r="N703">
        <v>62.07</v>
      </c>
      <c r="O703">
        <v>31258.21</v>
      </c>
      <c r="P703">
        <v>166.91</v>
      </c>
      <c r="Q703">
        <v>988.15</v>
      </c>
      <c r="R703">
        <v>44.58</v>
      </c>
      <c r="S703">
        <v>35.43</v>
      </c>
      <c r="T703">
        <v>3540.66</v>
      </c>
      <c r="U703">
        <v>0.79</v>
      </c>
      <c r="V703">
        <v>0.88</v>
      </c>
      <c r="W703">
        <v>2.99</v>
      </c>
      <c r="X703">
        <v>0.22</v>
      </c>
      <c r="Y703">
        <v>1</v>
      </c>
      <c r="Z703">
        <v>10</v>
      </c>
    </row>
    <row r="704" spans="1:26" x14ac:dyDescent="0.3">
      <c r="A704">
        <v>44</v>
      </c>
      <c r="B704">
        <v>120</v>
      </c>
      <c r="C704" t="s">
        <v>26</v>
      </c>
      <c r="D704">
        <v>6.1848000000000001</v>
      </c>
      <c r="E704">
        <v>16.170000000000002</v>
      </c>
      <c r="F704">
        <v>12.96</v>
      </c>
      <c r="G704">
        <v>70.680000000000007</v>
      </c>
      <c r="H704">
        <v>0.85</v>
      </c>
      <c r="I704">
        <v>11</v>
      </c>
      <c r="J704">
        <v>252</v>
      </c>
      <c r="K704">
        <v>57.72</v>
      </c>
      <c r="L704">
        <v>12</v>
      </c>
      <c r="M704">
        <v>9</v>
      </c>
      <c r="N704">
        <v>62.27</v>
      </c>
      <c r="O704">
        <v>31313.87</v>
      </c>
      <c r="P704">
        <v>165.64</v>
      </c>
      <c r="Q704">
        <v>988.08</v>
      </c>
      <c r="R704">
        <v>44.14</v>
      </c>
      <c r="S704">
        <v>35.43</v>
      </c>
      <c r="T704">
        <v>3325.06</v>
      </c>
      <c r="U704">
        <v>0.8</v>
      </c>
      <c r="V704">
        <v>0.88</v>
      </c>
      <c r="W704">
        <v>2.98</v>
      </c>
      <c r="X704">
        <v>0.21</v>
      </c>
      <c r="Y704">
        <v>1</v>
      </c>
      <c r="Z704">
        <v>10</v>
      </c>
    </row>
    <row r="705" spans="1:26" x14ac:dyDescent="0.3">
      <c r="A705">
        <v>45</v>
      </c>
      <c r="B705">
        <v>120</v>
      </c>
      <c r="C705" t="s">
        <v>26</v>
      </c>
      <c r="D705">
        <v>6.1898</v>
      </c>
      <c r="E705">
        <v>16.16</v>
      </c>
      <c r="F705">
        <v>12.95</v>
      </c>
      <c r="G705">
        <v>70.61</v>
      </c>
      <c r="H705">
        <v>0.86</v>
      </c>
      <c r="I705">
        <v>11</v>
      </c>
      <c r="J705">
        <v>252.45</v>
      </c>
      <c r="K705">
        <v>57.72</v>
      </c>
      <c r="L705">
        <v>12.25</v>
      </c>
      <c r="M705">
        <v>9</v>
      </c>
      <c r="N705">
        <v>62.48</v>
      </c>
      <c r="O705">
        <v>31369.599999999999</v>
      </c>
      <c r="P705">
        <v>164.87</v>
      </c>
      <c r="Q705">
        <v>988.09</v>
      </c>
      <c r="R705">
        <v>43.8</v>
      </c>
      <c r="S705">
        <v>35.43</v>
      </c>
      <c r="T705">
        <v>3153.99</v>
      </c>
      <c r="U705">
        <v>0.81</v>
      </c>
      <c r="V705">
        <v>0.88</v>
      </c>
      <c r="W705">
        <v>2.98</v>
      </c>
      <c r="X705">
        <v>0.19</v>
      </c>
      <c r="Y705">
        <v>1</v>
      </c>
      <c r="Z705">
        <v>10</v>
      </c>
    </row>
    <row r="706" spans="1:26" x14ac:dyDescent="0.3">
      <c r="A706">
        <v>46</v>
      </c>
      <c r="B706">
        <v>120</v>
      </c>
      <c r="C706" t="s">
        <v>26</v>
      </c>
      <c r="D706">
        <v>6.1898999999999997</v>
      </c>
      <c r="E706">
        <v>16.16</v>
      </c>
      <c r="F706">
        <v>12.95</v>
      </c>
      <c r="G706">
        <v>70.61</v>
      </c>
      <c r="H706">
        <v>0.88</v>
      </c>
      <c r="I706">
        <v>11</v>
      </c>
      <c r="J706">
        <v>252.9</v>
      </c>
      <c r="K706">
        <v>57.72</v>
      </c>
      <c r="L706">
        <v>12.5</v>
      </c>
      <c r="M706">
        <v>9</v>
      </c>
      <c r="N706">
        <v>62.68</v>
      </c>
      <c r="O706">
        <v>31425.4</v>
      </c>
      <c r="P706">
        <v>163.77000000000001</v>
      </c>
      <c r="Q706">
        <v>988.08</v>
      </c>
      <c r="R706">
        <v>43.79</v>
      </c>
      <c r="S706">
        <v>35.43</v>
      </c>
      <c r="T706">
        <v>3150.61</v>
      </c>
      <c r="U706">
        <v>0.81</v>
      </c>
      <c r="V706">
        <v>0.88</v>
      </c>
      <c r="W706">
        <v>2.98</v>
      </c>
      <c r="X706">
        <v>0.19</v>
      </c>
      <c r="Y706">
        <v>1</v>
      </c>
      <c r="Z706">
        <v>10</v>
      </c>
    </row>
    <row r="707" spans="1:26" x14ac:dyDescent="0.3">
      <c r="A707">
        <v>47</v>
      </c>
      <c r="B707">
        <v>120</v>
      </c>
      <c r="C707" t="s">
        <v>26</v>
      </c>
      <c r="D707">
        <v>6.1901999999999999</v>
      </c>
      <c r="E707">
        <v>16.149999999999999</v>
      </c>
      <c r="F707">
        <v>12.94</v>
      </c>
      <c r="G707">
        <v>70.61</v>
      </c>
      <c r="H707">
        <v>0.9</v>
      </c>
      <c r="I707">
        <v>11</v>
      </c>
      <c r="J707">
        <v>253.35</v>
      </c>
      <c r="K707">
        <v>57.72</v>
      </c>
      <c r="L707">
        <v>12.75</v>
      </c>
      <c r="M707">
        <v>9</v>
      </c>
      <c r="N707">
        <v>62.88</v>
      </c>
      <c r="O707">
        <v>31481.279999999999</v>
      </c>
      <c r="P707">
        <v>161.01</v>
      </c>
      <c r="Q707">
        <v>988.08</v>
      </c>
      <c r="R707">
        <v>43.67</v>
      </c>
      <c r="S707">
        <v>35.43</v>
      </c>
      <c r="T707">
        <v>3090.84</v>
      </c>
      <c r="U707">
        <v>0.81</v>
      </c>
      <c r="V707">
        <v>0.88</v>
      </c>
      <c r="W707">
        <v>2.98</v>
      </c>
      <c r="X707">
        <v>0.19</v>
      </c>
      <c r="Y707">
        <v>1</v>
      </c>
      <c r="Z707">
        <v>10</v>
      </c>
    </row>
    <row r="708" spans="1:26" x14ac:dyDescent="0.3">
      <c r="A708">
        <v>48</v>
      </c>
      <c r="B708">
        <v>120</v>
      </c>
      <c r="C708" t="s">
        <v>26</v>
      </c>
      <c r="D708">
        <v>6.2150999999999996</v>
      </c>
      <c r="E708">
        <v>16.09</v>
      </c>
      <c r="F708">
        <v>12.93</v>
      </c>
      <c r="G708">
        <v>77.55</v>
      </c>
      <c r="H708">
        <v>0.91</v>
      </c>
      <c r="I708">
        <v>10</v>
      </c>
      <c r="J708">
        <v>253.81</v>
      </c>
      <c r="K708">
        <v>57.72</v>
      </c>
      <c r="L708">
        <v>13</v>
      </c>
      <c r="M708">
        <v>6</v>
      </c>
      <c r="N708">
        <v>63.08</v>
      </c>
      <c r="O708">
        <v>31537.23</v>
      </c>
      <c r="P708">
        <v>160.75</v>
      </c>
      <c r="Q708">
        <v>988.12</v>
      </c>
      <c r="R708">
        <v>43.09</v>
      </c>
      <c r="S708">
        <v>35.43</v>
      </c>
      <c r="T708">
        <v>2806.83</v>
      </c>
      <c r="U708">
        <v>0.82</v>
      </c>
      <c r="V708">
        <v>0.88</v>
      </c>
      <c r="W708">
        <v>2.98</v>
      </c>
      <c r="X708">
        <v>0.17</v>
      </c>
      <c r="Y708">
        <v>1</v>
      </c>
      <c r="Z708">
        <v>10</v>
      </c>
    </row>
    <row r="709" spans="1:26" x14ac:dyDescent="0.3">
      <c r="A709">
        <v>49</v>
      </c>
      <c r="B709">
        <v>120</v>
      </c>
      <c r="C709" t="s">
        <v>26</v>
      </c>
      <c r="D709">
        <v>6.2112999999999996</v>
      </c>
      <c r="E709">
        <v>16.100000000000001</v>
      </c>
      <c r="F709">
        <v>12.94</v>
      </c>
      <c r="G709">
        <v>77.61</v>
      </c>
      <c r="H709">
        <v>0.93</v>
      </c>
      <c r="I709">
        <v>10</v>
      </c>
      <c r="J709">
        <v>254.26</v>
      </c>
      <c r="K709">
        <v>57.72</v>
      </c>
      <c r="L709">
        <v>13.25</v>
      </c>
      <c r="M709">
        <v>5</v>
      </c>
      <c r="N709">
        <v>63.29</v>
      </c>
      <c r="O709">
        <v>31593.26</v>
      </c>
      <c r="P709">
        <v>159.63</v>
      </c>
      <c r="Q709">
        <v>988.15</v>
      </c>
      <c r="R709">
        <v>43.25</v>
      </c>
      <c r="S709">
        <v>35.43</v>
      </c>
      <c r="T709">
        <v>2885.77</v>
      </c>
      <c r="U709">
        <v>0.82</v>
      </c>
      <c r="V709">
        <v>0.88</v>
      </c>
      <c r="W709">
        <v>2.99</v>
      </c>
      <c r="X709">
        <v>0.18</v>
      </c>
      <c r="Y709">
        <v>1</v>
      </c>
      <c r="Z709">
        <v>10</v>
      </c>
    </row>
    <row r="710" spans="1:26" x14ac:dyDescent="0.3">
      <c r="A710">
        <v>50</v>
      </c>
      <c r="B710">
        <v>120</v>
      </c>
      <c r="C710" t="s">
        <v>26</v>
      </c>
      <c r="D710">
        <v>6.2103000000000002</v>
      </c>
      <c r="E710">
        <v>16.100000000000001</v>
      </c>
      <c r="F710">
        <v>12.94</v>
      </c>
      <c r="G710">
        <v>77.63</v>
      </c>
      <c r="H710">
        <v>0.94</v>
      </c>
      <c r="I710">
        <v>10</v>
      </c>
      <c r="J710">
        <v>254.72</v>
      </c>
      <c r="K710">
        <v>57.72</v>
      </c>
      <c r="L710">
        <v>13.5</v>
      </c>
      <c r="M710">
        <v>4</v>
      </c>
      <c r="N710">
        <v>63.49</v>
      </c>
      <c r="O710">
        <v>31649.360000000001</v>
      </c>
      <c r="P710">
        <v>158.86000000000001</v>
      </c>
      <c r="Q710">
        <v>988.12</v>
      </c>
      <c r="R710">
        <v>43.27</v>
      </c>
      <c r="S710">
        <v>35.43</v>
      </c>
      <c r="T710">
        <v>2898.31</v>
      </c>
      <c r="U710">
        <v>0.82</v>
      </c>
      <c r="V710">
        <v>0.88</v>
      </c>
      <c r="W710">
        <v>2.99</v>
      </c>
      <c r="X710">
        <v>0.18</v>
      </c>
      <c r="Y710">
        <v>1</v>
      </c>
      <c r="Z710">
        <v>10</v>
      </c>
    </row>
    <row r="711" spans="1:26" x14ac:dyDescent="0.3">
      <c r="A711">
        <v>51</v>
      </c>
      <c r="B711">
        <v>120</v>
      </c>
      <c r="C711" t="s">
        <v>26</v>
      </c>
      <c r="D711">
        <v>6.21</v>
      </c>
      <c r="E711">
        <v>16.100000000000001</v>
      </c>
      <c r="F711">
        <v>12.94</v>
      </c>
      <c r="G711">
        <v>77.63</v>
      </c>
      <c r="H711">
        <v>0.96</v>
      </c>
      <c r="I711">
        <v>10</v>
      </c>
      <c r="J711">
        <v>255.17</v>
      </c>
      <c r="K711">
        <v>57.72</v>
      </c>
      <c r="L711">
        <v>13.75</v>
      </c>
      <c r="M711">
        <v>4</v>
      </c>
      <c r="N711">
        <v>63.7</v>
      </c>
      <c r="O711">
        <v>31705.54</v>
      </c>
      <c r="P711">
        <v>158.99</v>
      </c>
      <c r="Q711">
        <v>988.11</v>
      </c>
      <c r="R711">
        <v>43.36</v>
      </c>
      <c r="S711">
        <v>35.43</v>
      </c>
      <c r="T711">
        <v>2942.39</v>
      </c>
      <c r="U711">
        <v>0.82</v>
      </c>
      <c r="V711">
        <v>0.88</v>
      </c>
      <c r="W711">
        <v>2.99</v>
      </c>
      <c r="X711">
        <v>0.18</v>
      </c>
      <c r="Y711">
        <v>1</v>
      </c>
      <c r="Z711">
        <v>10</v>
      </c>
    </row>
    <row r="712" spans="1:26" x14ac:dyDescent="0.3">
      <c r="A712">
        <v>52</v>
      </c>
      <c r="B712">
        <v>120</v>
      </c>
      <c r="C712" t="s">
        <v>26</v>
      </c>
      <c r="D712">
        <v>6.2119</v>
      </c>
      <c r="E712">
        <v>16.100000000000001</v>
      </c>
      <c r="F712">
        <v>12.93</v>
      </c>
      <c r="G712">
        <v>77.599999999999994</v>
      </c>
      <c r="H712">
        <v>0.97</v>
      </c>
      <c r="I712">
        <v>10</v>
      </c>
      <c r="J712">
        <v>255.63</v>
      </c>
      <c r="K712">
        <v>57.72</v>
      </c>
      <c r="L712">
        <v>14</v>
      </c>
      <c r="M712">
        <v>2</v>
      </c>
      <c r="N712">
        <v>63.91</v>
      </c>
      <c r="O712">
        <v>31761.8</v>
      </c>
      <c r="P712">
        <v>158.94999999999999</v>
      </c>
      <c r="Q712">
        <v>988.16</v>
      </c>
      <c r="R712">
        <v>43.2</v>
      </c>
      <c r="S712">
        <v>35.43</v>
      </c>
      <c r="T712">
        <v>2863.4</v>
      </c>
      <c r="U712">
        <v>0.82</v>
      </c>
      <c r="V712">
        <v>0.88</v>
      </c>
      <c r="W712">
        <v>2.98</v>
      </c>
      <c r="X712">
        <v>0.18</v>
      </c>
      <c r="Y712">
        <v>1</v>
      </c>
      <c r="Z712">
        <v>10</v>
      </c>
    </row>
    <row r="713" spans="1:26" x14ac:dyDescent="0.3">
      <c r="A713">
        <v>53</v>
      </c>
      <c r="B713">
        <v>120</v>
      </c>
      <c r="C713" t="s">
        <v>26</v>
      </c>
      <c r="D713">
        <v>6.2099000000000002</v>
      </c>
      <c r="E713">
        <v>16.100000000000001</v>
      </c>
      <c r="F713">
        <v>12.94</v>
      </c>
      <c r="G713">
        <v>77.63</v>
      </c>
      <c r="H713">
        <v>0.99</v>
      </c>
      <c r="I713">
        <v>10</v>
      </c>
      <c r="J713">
        <v>256.08999999999997</v>
      </c>
      <c r="K713">
        <v>57.72</v>
      </c>
      <c r="L713">
        <v>14.25</v>
      </c>
      <c r="M713">
        <v>1</v>
      </c>
      <c r="N713">
        <v>64.11</v>
      </c>
      <c r="O713">
        <v>31818.13</v>
      </c>
      <c r="P713">
        <v>158.87</v>
      </c>
      <c r="Q713">
        <v>988.16</v>
      </c>
      <c r="R713">
        <v>43.28</v>
      </c>
      <c r="S713">
        <v>35.43</v>
      </c>
      <c r="T713">
        <v>2901.71</v>
      </c>
      <c r="U713">
        <v>0.82</v>
      </c>
      <c r="V713">
        <v>0.88</v>
      </c>
      <c r="W713">
        <v>2.99</v>
      </c>
      <c r="X713">
        <v>0.18</v>
      </c>
      <c r="Y713">
        <v>1</v>
      </c>
      <c r="Z713">
        <v>10</v>
      </c>
    </row>
    <row r="714" spans="1:26" x14ac:dyDescent="0.3">
      <c r="A714">
        <v>54</v>
      </c>
      <c r="B714">
        <v>120</v>
      </c>
      <c r="C714" t="s">
        <v>26</v>
      </c>
      <c r="D714">
        <v>6.2099000000000002</v>
      </c>
      <c r="E714">
        <v>16.100000000000001</v>
      </c>
      <c r="F714">
        <v>12.94</v>
      </c>
      <c r="G714">
        <v>77.63</v>
      </c>
      <c r="H714">
        <v>1.01</v>
      </c>
      <c r="I714">
        <v>10</v>
      </c>
      <c r="J714">
        <v>256.54000000000002</v>
      </c>
      <c r="K714">
        <v>57.72</v>
      </c>
      <c r="L714">
        <v>14.5</v>
      </c>
      <c r="M714">
        <v>0</v>
      </c>
      <c r="N714">
        <v>64.319999999999993</v>
      </c>
      <c r="O714">
        <v>31874.54</v>
      </c>
      <c r="P714">
        <v>159.12</v>
      </c>
      <c r="Q714">
        <v>988.16</v>
      </c>
      <c r="R714">
        <v>43.29</v>
      </c>
      <c r="S714">
        <v>35.43</v>
      </c>
      <c r="T714">
        <v>2903.59</v>
      </c>
      <c r="U714">
        <v>0.82</v>
      </c>
      <c r="V714">
        <v>0.88</v>
      </c>
      <c r="W714">
        <v>2.99</v>
      </c>
      <c r="X714">
        <v>0.18</v>
      </c>
      <c r="Y714">
        <v>1</v>
      </c>
      <c r="Z714">
        <v>10</v>
      </c>
    </row>
    <row r="715" spans="1:26" x14ac:dyDescent="0.3">
      <c r="A715">
        <v>0</v>
      </c>
      <c r="B715">
        <v>145</v>
      </c>
      <c r="C715" t="s">
        <v>26</v>
      </c>
      <c r="D715">
        <v>3.1004999999999998</v>
      </c>
      <c r="E715">
        <v>32.25</v>
      </c>
      <c r="F715">
        <v>17.34</v>
      </c>
      <c r="G715">
        <v>4.6900000000000004</v>
      </c>
      <c r="H715">
        <v>0.06</v>
      </c>
      <c r="I715">
        <v>222</v>
      </c>
      <c r="J715">
        <v>285.18</v>
      </c>
      <c r="K715">
        <v>61.2</v>
      </c>
      <c r="L715">
        <v>1</v>
      </c>
      <c r="M715">
        <v>220</v>
      </c>
      <c r="N715">
        <v>77.98</v>
      </c>
      <c r="O715">
        <v>35406.83</v>
      </c>
      <c r="P715">
        <v>307.76</v>
      </c>
      <c r="Q715">
        <v>988.7</v>
      </c>
      <c r="R715">
        <v>180.73</v>
      </c>
      <c r="S715">
        <v>35.43</v>
      </c>
      <c r="T715">
        <v>70563.86</v>
      </c>
      <c r="U715">
        <v>0.2</v>
      </c>
      <c r="V715">
        <v>0.66</v>
      </c>
      <c r="W715">
        <v>3.33</v>
      </c>
      <c r="X715">
        <v>4.58</v>
      </c>
      <c r="Y715">
        <v>1</v>
      </c>
      <c r="Z715">
        <v>10</v>
      </c>
    </row>
    <row r="716" spans="1:26" x14ac:dyDescent="0.3">
      <c r="A716">
        <v>1</v>
      </c>
      <c r="B716">
        <v>145</v>
      </c>
      <c r="C716" t="s">
        <v>26</v>
      </c>
      <c r="D716">
        <v>3.5789</v>
      </c>
      <c r="E716">
        <v>27.94</v>
      </c>
      <c r="F716">
        <v>16.100000000000001</v>
      </c>
      <c r="G716">
        <v>5.85</v>
      </c>
      <c r="H716">
        <v>0.08</v>
      </c>
      <c r="I716">
        <v>165</v>
      </c>
      <c r="J716">
        <v>285.68</v>
      </c>
      <c r="K716">
        <v>61.2</v>
      </c>
      <c r="L716">
        <v>1.25</v>
      </c>
      <c r="M716">
        <v>163</v>
      </c>
      <c r="N716">
        <v>78.239999999999995</v>
      </c>
      <c r="O716">
        <v>35468.6</v>
      </c>
      <c r="P716">
        <v>285.16000000000003</v>
      </c>
      <c r="Q716">
        <v>988.54</v>
      </c>
      <c r="R716">
        <v>142.18</v>
      </c>
      <c r="S716">
        <v>35.43</v>
      </c>
      <c r="T716">
        <v>51577.47</v>
      </c>
      <c r="U716">
        <v>0.25</v>
      </c>
      <c r="V716">
        <v>0.71</v>
      </c>
      <c r="W716">
        <v>3.23</v>
      </c>
      <c r="X716">
        <v>3.34</v>
      </c>
      <c r="Y716">
        <v>1</v>
      </c>
      <c r="Z716">
        <v>10</v>
      </c>
    </row>
    <row r="717" spans="1:26" x14ac:dyDescent="0.3">
      <c r="A717">
        <v>2</v>
      </c>
      <c r="B717">
        <v>145</v>
      </c>
      <c r="C717" t="s">
        <v>26</v>
      </c>
      <c r="D717">
        <v>3.9205000000000001</v>
      </c>
      <c r="E717">
        <v>25.51</v>
      </c>
      <c r="F717">
        <v>15.44</v>
      </c>
      <c r="G717">
        <v>7.02</v>
      </c>
      <c r="H717">
        <v>0.09</v>
      </c>
      <c r="I717">
        <v>132</v>
      </c>
      <c r="J717">
        <v>286.19</v>
      </c>
      <c r="K717">
        <v>61.2</v>
      </c>
      <c r="L717">
        <v>1.5</v>
      </c>
      <c r="M717">
        <v>130</v>
      </c>
      <c r="N717">
        <v>78.489999999999995</v>
      </c>
      <c r="O717">
        <v>35530.47</v>
      </c>
      <c r="P717">
        <v>272.95</v>
      </c>
      <c r="Q717">
        <v>988.57</v>
      </c>
      <c r="R717">
        <v>121.03</v>
      </c>
      <c r="S717">
        <v>35.43</v>
      </c>
      <c r="T717">
        <v>41168.39</v>
      </c>
      <c r="U717">
        <v>0.28999999999999998</v>
      </c>
      <c r="V717">
        <v>0.74</v>
      </c>
      <c r="W717">
        <v>3.19</v>
      </c>
      <c r="X717">
        <v>2.69</v>
      </c>
      <c r="Y717">
        <v>1</v>
      </c>
      <c r="Z717">
        <v>10</v>
      </c>
    </row>
    <row r="718" spans="1:26" x14ac:dyDescent="0.3">
      <c r="A718">
        <v>3</v>
      </c>
      <c r="B718">
        <v>145</v>
      </c>
      <c r="C718" t="s">
        <v>26</v>
      </c>
      <c r="D718">
        <v>4.2073</v>
      </c>
      <c r="E718">
        <v>23.77</v>
      </c>
      <c r="F718">
        <v>14.95</v>
      </c>
      <c r="G718">
        <v>8.23</v>
      </c>
      <c r="H718">
        <v>0.11</v>
      </c>
      <c r="I718">
        <v>109</v>
      </c>
      <c r="J718">
        <v>286.69</v>
      </c>
      <c r="K718">
        <v>61.2</v>
      </c>
      <c r="L718">
        <v>1.75</v>
      </c>
      <c r="M718">
        <v>107</v>
      </c>
      <c r="N718">
        <v>78.739999999999995</v>
      </c>
      <c r="O718">
        <v>35592.57</v>
      </c>
      <c r="P718">
        <v>263.54000000000002</v>
      </c>
      <c r="Q718">
        <v>988.33</v>
      </c>
      <c r="R718">
        <v>105.86</v>
      </c>
      <c r="S718">
        <v>35.43</v>
      </c>
      <c r="T718">
        <v>33694.910000000003</v>
      </c>
      <c r="U718">
        <v>0.33</v>
      </c>
      <c r="V718">
        <v>0.76</v>
      </c>
      <c r="W718">
        <v>3.14</v>
      </c>
      <c r="X718">
        <v>2.19</v>
      </c>
      <c r="Y718">
        <v>1</v>
      </c>
      <c r="Z718">
        <v>10</v>
      </c>
    </row>
    <row r="719" spans="1:26" x14ac:dyDescent="0.3">
      <c r="A719">
        <v>4</v>
      </c>
      <c r="B719">
        <v>145</v>
      </c>
      <c r="C719" t="s">
        <v>26</v>
      </c>
      <c r="D719">
        <v>4.4135</v>
      </c>
      <c r="E719">
        <v>22.66</v>
      </c>
      <c r="F719">
        <v>14.64</v>
      </c>
      <c r="G719">
        <v>9.35</v>
      </c>
      <c r="H719">
        <v>0.12</v>
      </c>
      <c r="I719">
        <v>94</v>
      </c>
      <c r="J719">
        <v>287.19</v>
      </c>
      <c r="K719">
        <v>61.2</v>
      </c>
      <c r="L719">
        <v>2</v>
      </c>
      <c r="M719">
        <v>92</v>
      </c>
      <c r="N719">
        <v>78.989999999999995</v>
      </c>
      <c r="O719">
        <v>35654.65</v>
      </c>
      <c r="P719">
        <v>257.63</v>
      </c>
      <c r="Q719">
        <v>988.4</v>
      </c>
      <c r="R719">
        <v>96.44</v>
      </c>
      <c r="S719">
        <v>35.43</v>
      </c>
      <c r="T719">
        <v>29060</v>
      </c>
      <c r="U719">
        <v>0.37</v>
      </c>
      <c r="V719">
        <v>0.78</v>
      </c>
      <c r="W719">
        <v>3.12</v>
      </c>
      <c r="X719">
        <v>1.89</v>
      </c>
      <c r="Y719">
        <v>1</v>
      </c>
      <c r="Z719">
        <v>10</v>
      </c>
    </row>
    <row r="720" spans="1:26" x14ac:dyDescent="0.3">
      <c r="A720">
        <v>5</v>
      </c>
      <c r="B720">
        <v>145</v>
      </c>
      <c r="C720" t="s">
        <v>26</v>
      </c>
      <c r="D720">
        <v>4.5979999999999999</v>
      </c>
      <c r="E720">
        <v>21.75</v>
      </c>
      <c r="F720">
        <v>14.38</v>
      </c>
      <c r="G720">
        <v>10.52</v>
      </c>
      <c r="H720">
        <v>0.14000000000000001</v>
      </c>
      <c r="I720">
        <v>82</v>
      </c>
      <c r="J720">
        <v>287.7</v>
      </c>
      <c r="K720">
        <v>61.2</v>
      </c>
      <c r="L720">
        <v>2.25</v>
      </c>
      <c r="M720">
        <v>80</v>
      </c>
      <c r="N720">
        <v>79.25</v>
      </c>
      <c r="O720">
        <v>35716.83</v>
      </c>
      <c r="P720">
        <v>252.44</v>
      </c>
      <c r="Q720">
        <v>988.4</v>
      </c>
      <c r="R720">
        <v>88.49</v>
      </c>
      <c r="S720">
        <v>35.43</v>
      </c>
      <c r="T720">
        <v>25145.85</v>
      </c>
      <c r="U720">
        <v>0.4</v>
      </c>
      <c r="V720">
        <v>0.79</v>
      </c>
      <c r="W720">
        <v>3.09</v>
      </c>
      <c r="X720">
        <v>1.62</v>
      </c>
      <c r="Y720">
        <v>1</v>
      </c>
      <c r="Z720">
        <v>10</v>
      </c>
    </row>
    <row r="721" spans="1:26" x14ac:dyDescent="0.3">
      <c r="A721">
        <v>6</v>
      </c>
      <c r="B721">
        <v>145</v>
      </c>
      <c r="C721" t="s">
        <v>26</v>
      </c>
      <c r="D721">
        <v>4.7404999999999999</v>
      </c>
      <c r="E721">
        <v>21.09</v>
      </c>
      <c r="F721">
        <v>14.21</v>
      </c>
      <c r="G721">
        <v>11.68</v>
      </c>
      <c r="H721">
        <v>0.15</v>
      </c>
      <c r="I721">
        <v>73</v>
      </c>
      <c r="J721">
        <v>288.2</v>
      </c>
      <c r="K721">
        <v>61.2</v>
      </c>
      <c r="L721">
        <v>2.5</v>
      </c>
      <c r="M721">
        <v>71</v>
      </c>
      <c r="N721">
        <v>79.5</v>
      </c>
      <c r="O721">
        <v>35779.11</v>
      </c>
      <c r="P721">
        <v>248.83</v>
      </c>
      <c r="Q721">
        <v>988.47</v>
      </c>
      <c r="R721">
        <v>82.87</v>
      </c>
      <c r="S721">
        <v>35.43</v>
      </c>
      <c r="T721">
        <v>22382.47</v>
      </c>
      <c r="U721">
        <v>0.43</v>
      </c>
      <c r="V721">
        <v>0.8</v>
      </c>
      <c r="W721">
        <v>3.09</v>
      </c>
      <c r="X721">
        <v>1.45</v>
      </c>
      <c r="Y721">
        <v>1</v>
      </c>
      <c r="Z721">
        <v>10</v>
      </c>
    </row>
    <row r="722" spans="1:26" x14ac:dyDescent="0.3">
      <c r="A722">
        <v>7</v>
      </c>
      <c r="B722">
        <v>145</v>
      </c>
      <c r="C722" t="s">
        <v>26</v>
      </c>
      <c r="D722">
        <v>4.8815999999999997</v>
      </c>
      <c r="E722">
        <v>20.48</v>
      </c>
      <c r="F722">
        <v>14.03</v>
      </c>
      <c r="G722">
        <v>12.95</v>
      </c>
      <c r="H722">
        <v>0.17</v>
      </c>
      <c r="I722">
        <v>65</v>
      </c>
      <c r="J722">
        <v>288.70999999999998</v>
      </c>
      <c r="K722">
        <v>61.2</v>
      </c>
      <c r="L722">
        <v>2.75</v>
      </c>
      <c r="M722">
        <v>63</v>
      </c>
      <c r="N722">
        <v>79.760000000000005</v>
      </c>
      <c r="O722">
        <v>35841.5</v>
      </c>
      <c r="P722">
        <v>245.2</v>
      </c>
      <c r="Q722">
        <v>988.3</v>
      </c>
      <c r="R722">
        <v>77.349999999999994</v>
      </c>
      <c r="S722">
        <v>35.43</v>
      </c>
      <c r="T722">
        <v>19662.72</v>
      </c>
      <c r="U722">
        <v>0.46</v>
      </c>
      <c r="V722">
        <v>0.81</v>
      </c>
      <c r="W722">
        <v>3.07</v>
      </c>
      <c r="X722">
        <v>1.28</v>
      </c>
      <c r="Y722">
        <v>1</v>
      </c>
      <c r="Z722">
        <v>10</v>
      </c>
    </row>
    <row r="723" spans="1:26" x14ac:dyDescent="0.3">
      <c r="A723">
        <v>8</v>
      </c>
      <c r="B723">
        <v>145</v>
      </c>
      <c r="C723" t="s">
        <v>26</v>
      </c>
      <c r="D723">
        <v>4.9882</v>
      </c>
      <c r="E723">
        <v>20.05</v>
      </c>
      <c r="F723">
        <v>13.92</v>
      </c>
      <c r="G723">
        <v>14.15</v>
      </c>
      <c r="H723">
        <v>0.18</v>
      </c>
      <c r="I723">
        <v>59</v>
      </c>
      <c r="J723">
        <v>289.20999999999998</v>
      </c>
      <c r="K723">
        <v>61.2</v>
      </c>
      <c r="L723">
        <v>3</v>
      </c>
      <c r="M723">
        <v>57</v>
      </c>
      <c r="N723">
        <v>80.02</v>
      </c>
      <c r="O723">
        <v>35903.99</v>
      </c>
      <c r="P723">
        <v>242.66</v>
      </c>
      <c r="Q723">
        <v>988.36</v>
      </c>
      <c r="R723">
        <v>73.62</v>
      </c>
      <c r="S723">
        <v>35.43</v>
      </c>
      <c r="T723">
        <v>17824.080000000002</v>
      </c>
      <c r="U723">
        <v>0.48</v>
      </c>
      <c r="V723">
        <v>0.82</v>
      </c>
      <c r="W723">
        <v>3.07</v>
      </c>
      <c r="X723">
        <v>1.1599999999999999</v>
      </c>
      <c r="Y723">
        <v>1</v>
      </c>
      <c r="Z723">
        <v>10</v>
      </c>
    </row>
    <row r="724" spans="1:26" x14ac:dyDescent="0.3">
      <c r="A724">
        <v>9</v>
      </c>
      <c r="B724">
        <v>145</v>
      </c>
      <c r="C724" t="s">
        <v>26</v>
      </c>
      <c r="D724">
        <v>5.0819000000000001</v>
      </c>
      <c r="E724">
        <v>19.68</v>
      </c>
      <c r="F724">
        <v>13.82</v>
      </c>
      <c r="G724">
        <v>15.35</v>
      </c>
      <c r="H724">
        <v>0.2</v>
      </c>
      <c r="I724">
        <v>54</v>
      </c>
      <c r="J724">
        <v>289.72000000000003</v>
      </c>
      <c r="K724">
        <v>61.2</v>
      </c>
      <c r="L724">
        <v>3.25</v>
      </c>
      <c r="M724">
        <v>52</v>
      </c>
      <c r="N724">
        <v>80.27</v>
      </c>
      <c r="O724">
        <v>35966.589999999997</v>
      </c>
      <c r="P724">
        <v>240.26</v>
      </c>
      <c r="Q724">
        <v>988.2</v>
      </c>
      <c r="R724">
        <v>70.459999999999994</v>
      </c>
      <c r="S724">
        <v>35.43</v>
      </c>
      <c r="T724">
        <v>16272.55</v>
      </c>
      <c r="U724">
        <v>0.5</v>
      </c>
      <c r="V724">
        <v>0.82</v>
      </c>
      <c r="W724">
        <v>3.06</v>
      </c>
      <c r="X724">
        <v>1.06</v>
      </c>
      <c r="Y724">
        <v>1</v>
      </c>
      <c r="Z724">
        <v>10</v>
      </c>
    </row>
    <row r="725" spans="1:26" x14ac:dyDescent="0.3">
      <c r="A725">
        <v>10</v>
      </c>
      <c r="B725">
        <v>145</v>
      </c>
      <c r="C725" t="s">
        <v>26</v>
      </c>
      <c r="D725">
        <v>5.1540999999999997</v>
      </c>
      <c r="E725">
        <v>19.399999999999999</v>
      </c>
      <c r="F725">
        <v>13.76</v>
      </c>
      <c r="G725">
        <v>16.510000000000002</v>
      </c>
      <c r="H725">
        <v>0.21</v>
      </c>
      <c r="I725">
        <v>50</v>
      </c>
      <c r="J725">
        <v>290.23</v>
      </c>
      <c r="K725">
        <v>61.2</v>
      </c>
      <c r="L725">
        <v>3.5</v>
      </c>
      <c r="M725">
        <v>48</v>
      </c>
      <c r="N725">
        <v>80.53</v>
      </c>
      <c r="O725">
        <v>36029.29</v>
      </c>
      <c r="P725">
        <v>238.74</v>
      </c>
      <c r="Q725">
        <v>988.57</v>
      </c>
      <c r="R725">
        <v>68.97</v>
      </c>
      <c r="S725">
        <v>35.43</v>
      </c>
      <c r="T725">
        <v>15547.4</v>
      </c>
      <c r="U725">
        <v>0.51</v>
      </c>
      <c r="V725">
        <v>0.83</v>
      </c>
      <c r="W725">
        <v>3.05</v>
      </c>
      <c r="X725">
        <v>1</v>
      </c>
      <c r="Y725">
        <v>1</v>
      </c>
      <c r="Z725">
        <v>10</v>
      </c>
    </row>
    <row r="726" spans="1:26" x14ac:dyDescent="0.3">
      <c r="A726">
        <v>11</v>
      </c>
      <c r="B726">
        <v>145</v>
      </c>
      <c r="C726" t="s">
        <v>26</v>
      </c>
      <c r="D726">
        <v>5.2169999999999996</v>
      </c>
      <c r="E726">
        <v>19.170000000000002</v>
      </c>
      <c r="F726">
        <v>13.69</v>
      </c>
      <c r="G726">
        <v>17.47</v>
      </c>
      <c r="H726">
        <v>0.23</v>
      </c>
      <c r="I726">
        <v>47</v>
      </c>
      <c r="J726">
        <v>290.74</v>
      </c>
      <c r="K726">
        <v>61.2</v>
      </c>
      <c r="L726">
        <v>3.75</v>
      </c>
      <c r="M726">
        <v>45</v>
      </c>
      <c r="N726">
        <v>80.790000000000006</v>
      </c>
      <c r="O726">
        <v>36092.1</v>
      </c>
      <c r="P726">
        <v>236.84</v>
      </c>
      <c r="Q726">
        <v>988.21</v>
      </c>
      <c r="R726">
        <v>66.5</v>
      </c>
      <c r="S726">
        <v>35.43</v>
      </c>
      <c r="T726">
        <v>14326.94</v>
      </c>
      <c r="U726">
        <v>0.53</v>
      </c>
      <c r="V726">
        <v>0.83</v>
      </c>
      <c r="W726">
        <v>3.05</v>
      </c>
      <c r="X726">
        <v>0.93</v>
      </c>
      <c r="Y726">
        <v>1</v>
      </c>
      <c r="Z726">
        <v>10</v>
      </c>
    </row>
    <row r="727" spans="1:26" x14ac:dyDescent="0.3">
      <c r="A727">
        <v>12</v>
      </c>
      <c r="B727">
        <v>145</v>
      </c>
      <c r="C727" t="s">
        <v>26</v>
      </c>
      <c r="D727">
        <v>5.3007</v>
      </c>
      <c r="E727">
        <v>18.87</v>
      </c>
      <c r="F727">
        <v>13.6</v>
      </c>
      <c r="G727">
        <v>18.98</v>
      </c>
      <c r="H727">
        <v>0.24</v>
      </c>
      <c r="I727">
        <v>43</v>
      </c>
      <c r="J727">
        <v>291.25</v>
      </c>
      <c r="K727">
        <v>61.2</v>
      </c>
      <c r="L727">
        <v>4</v>
      </c>
      <c r="M727">
        <v>41</v>
      </c>
      <c r="N727">
        <v>81.05</v>
      </c>
      <c r="O727">
        <v>36155.019999999997</v>
      </c>
      <c r="P727">
        <v>234.77</v>
      </c>
      <c r="Q727">
        <v>988.15</v>
      </c>
      <c r="R727">
        <v>64.09</v>
      </c>
      <c r="S727">
        <v>35.43</v>
      </c>
      <c r="T727">
        <v>13142.62</v>
      </c>
      <c r="U727">
        <v>0.55000000000000004</v>
      </c>
      <c r="V727">
        <v>0.84</v>
      </c>
      <c r="W727">
        <v>3.03</v>
      </c>
      <c r="X727">
        <v>0.84</v>
      </c>
      <c r="Y727">
        <v>1</v>
      </c>
      <c r="Z727">
        <v>10</v>
      </c>
    </row>
    <row r="728" spans="1:26" x14ac:dyDescent="0.3">
      <c r="A728">
        <v>13</v>
      </c>
      <c r="B728">
        <v>145</v>
      </c>
      <c r="C728" t="s">
        <v>26</v>
      </c>
      <c r="D728">
        <v>5.3404999999999996</v>
      </c>
      <c r="E728">
        <v>18.72</v>
      </c>
      <c r="F728">
        <v>13.57</v>
      </c>
      <c r="G728">
        <v>19.850000000000001</v>
      </c>
      <c r="H728">
        <v>0.26</v>
      </c>
      <c r="I728">
        <v>41</v>
      </c>
      <c r="J728">
        <v>291.76</v>
      </c>
      <c r="K728">
        <v>61.2</v>
      </c>
      <c r="L728">
        <v>4.25</v>
      </c>
      <c r="M728">
        <v>39</v>
      </c>
      <c r="N728">
        <v>81.31</v>
      </c>
      <c r="O728">
        <v>36218.04</v>
      </c>
      <c r="P728">
        <v>233.73</v>
      </c>
      <c r="Q728">
        <v>988.25</v>
      </c>
      <c r="R728">
        <v>62.61</v>
      </c>
      <c r="S728">
        <v>35.43</v>
      </c>
      <c r="T728">
        <v>12408.89</v>
      </c>
      <c r="U728">
        <v>0.56999999999999995</v>
      </c>
      <c r="V728">
        <v>0.84</v>
      </c>
      <c r="W728">
        <v>3.04</v>
      </c>
      <c r="X728">
        <v>0.81</v>
      </c>
      <c r="Y728">
        <v>1</v>
      </c>
      <c r="Z728">
        <v>10</v>
      </c>
    </row>
    <row r="729" spans="1:26" x14ac:dyDescent="0.3">
      <c r="A729">
        <v>14</v>
      </c>
      <c r="B729">
        <v>145</v>
      </c>
      <c r="C729" t="s">
        <v>26</v>
      </c>
      <c r="D729">
        <v>5.4063999999999997</v>
      </c>
      <c r="E729">
        <v>18.5</v>
      </c>
      <c r="F729">
        <v>13.5</v>
      </c>
      <c r="G729">
        <v>21.32</v>
      </c>
      <c r="H729">
        <v>0.27</v>
      </c>
      <c r="I729">
        <v>38</v>
      </c>
      <c r="J729">
        <v>292.27</v>
      </c>
      <c r="K729">
        <v>61.2</v>
      </c>
      <c r="L729">
        <v>4.5</v>
      </c>
      <c r="M729">
        <v>36</v>
      </c>
      <c r="N729">
        <v>81.569999999999993</v>
      </c>
      <c r="O729">
        <v>36281.160000000003</v>
      </c>
      <c r="P729">
        <v>232</v>
      </c>
      <c r="Q729">
        <v>988.24</v>
      </c>
      <c r="R729">
        <v>60.95</v>
      </c>
      <c r="S729">
        <v>35.43</v>
      </c>
      <c r="T729">
        <v>11594.69</v>
      </c>
      <c r="U729">
        <v>0.57999999999999996</v>
      </c>
      <c r="V729">
        <v>0.84</v>
      </c>
      <c r="W729">
        <v>3.02</v>
      </c>
      <c r="X729">
        <v>0.74</v>
      </c>
      <c r="Y729">
        <v>1</v>
      </c>
      <c r="Z729">
        <v>10</v>
      </c>
    </row>
    <row r="730" spans="1:26" x14ac:dyDescent="0.3">
      <c r="A730">
        <v>15</v>
      </c>
      <c r="B730">
        <v>145</v>
      </c>
      <c r="C730" t="s">
        <v>26</v>
      </c>
      <c r="D730">
        <v>5.4550999999999998</v>
      </c>
      <c r="E730">
        <v>18.329999999999998</v>
      </c>
      <c r="F730">
        <v>13.44</v>
      </c>
      <c r="G730">
        <v>22.4</v>
      </c>
      <c r="H730">
        <v>0.28999999999999998</v>
      </c>
      <c r="I730">
        <v>36</v>
      </c>
      <c r="J730">
        <v>292.79000000000002</v>
      </c>
      <c r="K730">
        <v>61.2</v>
      </c>
      <c r="L730">
        <v>4.75</v>
      </c>
      <c r="M730">
        <v>34</v>
      </c>
      <c r="N730">
        <v>81.84</v>
      </c>
      <c r="O730">
        <v>36344.400000000001</v>
      </c>
      <c r="P730">
        <v>230.37</v>
      </c>
      <c r="Q730">
        <v>988.21</v>
      </c>
      <c r="R730">
        <v>59.06</v>
      </c>
      <c r="S730">
        <v>35.43</v>
      </c>
      <c r="T730">
        <v>10663.58</v>
      </c>
      <c r="U730">
        <v>0.6</v>
      </c>
      <c r="V730">
        <v>0.85</v>
      </c>
      <c r="W730">
        <v>3.02</v>
      </c>
      <c r="X730">
        <v>0.69</v>
      </c>
      <c r="Y730">
        <v>1</v>
      </c>
      <c r="Z730">
        <v>10</v>
      </c>
    </row>
    <row r="731" spans="1:26" x14ac:dyDescent="0.3">
      <c r="A731">
        <v>16</v>
      </c>
      <c r="B731">
        <v>145</v>
      </c>
      <c r="C731" t="s">
        <v>26</v>
      </c>
      <c r="D731">
        <v>5.4912000000000001</v>
      </c>
      <c r="E731">
        <v>18.21</v>
      </c>
      <c r="F731">
        <v>13.43</v>
      </c>
      <c r="G731">
        <v>23.7</v>
      </c>
      <c r="H731">
        <v>0.3</v>
      </c>
      <c r="I731">
        <v>34</v>
      </c>
      <c r="J731">
        <v>293.3</v>
      </c>
      <c r="K731">
        <v>61.2</v>
      </c>
      <c r="L731">
        <v>5</v>
      </c>
      <c r="M731">
        <v>32</v>
      </c>
      <c r="N731">
        <v>82.1</v>
      </c>
      <c r="O731">
        <v>36407.75</v>
      </c>
      <c r="P731">
        <v>229.59</v>
      </c>
      <c r="Q731">
        <v>988.22</v>
      </c>
      <c r="R731">
        <v>58.78</v>
      </c>
      <c r="S731">
        <v>35.43</v>
      </c>
      <c r="T731">
        <v>10533.58</v>
      </c>
      <c r="U731">
        <v>0.6</v>
      </c>
      <c r="V731">
        <v>0.85</v>
      </c>
      <c r="W731">
        <v>3.02</v>
      </c>
      <c r="X731">
        <v>0.68</v>
      </c>
      <c r="Y731">
        <v>1</v>
      </c>
      <c r="Z731">
        <v>10</v>
      </c>
    </row>
    <row r="732" spans="1:26" x14ac:dyDescent="0.3">
      <c r="A732">
        <v>17</v>
      </c>
      <c r="B732">
        <v>145</v>
      </c>
      <c r="C732" t="s">
        <v>26</v>
      </c>
      <c r="D732">
        <v>5.5208000000000004</v>
      </c>
      <c r="E732">
        <v>18.11</v>
      </c>
      <c r="F732">
        <v>13.39</v>
      </c>
      <c r="G732">
        <v>24.34</v>
      </c>
      <c r="H732">
        <v>0.32</v>
      </c>
      <c r="I732">
        <v>33</v>
      </c>
      <c r="J732">
        <v>293.81</v>
      </c>
      <c r="K732">
        <v>61.2</v>
      </c>
      <c r="L732">
        <v>5.25</v>
      </c>
      <c r="M732">
        <v>31</v>
      </c>
      <c r="N732">
        <v>82.36</v>
      </c>
      <c r="O732">
        <v>36471.199999999997</v>
      </c>
      <c r="P732">
        <v>228.36</v>
      </c>
      <c r="Q732">
        <v>988.2</v>
      </c>
      <c r="R732">
        <v>57.49</v>
      </c>
      <c r="S732">
        <v>35.43</v>
      </c>
      <c r="T732">
        <v>9891.19</v>
      </c>
      <c r="U732">
        <v>0.62</v>
      </c>
      <c r="V732">
        <v>0.85</v>
      </c>
      <c r="W732">
        <v>3.02</v>
      </c>
      <c r="X732">
        <v>0.63</v>
      </c>
      <c r="Y732">
        <v>1</v>
      </c>
      <c r="Z732">
        <v>10</v>
      </c>
    </row>
    <row r="733" spans="1:26" x14ac:dyDescent="0.3">
      <c r="A733">
        <v>18</v>
      </c>
      <c r="B733">
        <v>145</v>
      </c>
      <c r="C733" t="s">
        <v>26</v>
      </c>
      <c r="D733">
        <v>5.5603999999999996</v>
      </c>
      <c r="E733">
        <v>17.98</v>
      </c>
      <c r="F733">
        <v>13.36</v>
      </c>
      <c r="G733">
        <v>25.87</v>
      </c>
      <c r="H733">
        <v>0.33</v>
      </c>
      <c r="I733">
        <v>31</v>
      </c>
      <c r="J733">
        <v>294.33</v>
      </c>
      <c r="K733">
        <v>61.2</v>
      </c>
      <c r="L733">
        <v>5.5</v>
      </c>
      <c r="M733">
        <v>29</v>
      </c>
      <c r="N733">
        <v>82.63</v>
      </c>
      <c r="O733">
        <v>36534.76</v>
      </c>
      <c r="P733">
        <v>227.48</v>
      </c>
      <c r="Q733">
        <v>988.15</v>
      </c>
      <c r="R733">
        <v>56.7</v>
      </c>
      <c r="S733">
        <v>35.43</v>
      </c>
      <c r="T733">
        <v>9507.08</v>
      </c>
      <c r="U733">
        <v>0.62</v>
      </c>
      <c r="V733">
        <v>0.85</v>
      </c>
      <c r="W733">
        <v>3.02</v>
      </c>
      <c r="X733">
        <v>0.61</v>
      </c>
      <c r="Y733">
        <v>1</v>
      </c>
      <c r="Z733">
        <v>10</v>
      </c>
    </row>
    <row r="734" spans="1:26" x14ac:dyDescent="0.3">
      <c r="A734">
        <v>19</v>
      </c>
      <c r="B734">
        <v>145</v>
      </c>
      <c r="C734" t="s">
        <v>26</v>
      </c>
      <c r="D734">
        <v>5.5896999999999997</v>
      </c>
      <c r="E734">
        <v>17.89</v>
      </c>
      <c r="F734">
        <v>13.32</v>
      </c>
      <c r="G734">
        <v>26.65</v>
      </c>
      <c r="H734">
        <v>0.35</v>
      </c>
      <c r="I734">
        <v>30</v>
      </c>
      <c r="J734">
        <v>294.83999999999997</v>
      </c>
      <c r="K734">
        <v>61.2</v>
      </c>
      <c r="L734">
        <v>5.75</v>
      </c>
      <c r="M734">
        <v>28</v>
      </c>
      <c r="N734">
        <v>82.9</v>
      </c>
      <c r="O734">
        <v>36598.44</v>
      </c>
      <c r="P734">
        <v>225.95</v>
      </c>
      <c r="Q734">
        <v>988.12</v>
      </c>
      <c r="R734">
        <v>55.48</v>
      </c>
      <c r="S734">
        <v>35.43</v>
      </c>
      <c r="T734">
        <v>8903.0499999999993</v>
      </c>
      <c r="U734">
        <v>0.64</v>
      </c>
      <c r="V734">
        <v>0.86</v>
      </c>
      <c r="W734">
        <v>3.01</v>
      </c>
      <c r="X734">
        <v>0.56999999999999995</v>
      </c>
      <c r="Y734">
        <v>1</v>
      </c>
      <c r="Z734">
        <v>10</v>
      </c>
    </row>
    <row r="735" spans="1:26" x14ac:dyDescent="0.3">
      <c r="A735">
        <v>20</v>
      </c>
      <c r="B735">
        <v>145</v>
      </c>
      <c r="C735" t="s">
        <v>26</v>
      </c>
      <c r="D735">
        <v>5.6284000000000001</v>
      </c>
      <c r="E735">
        <v>17.77</v>
      </c>
      <c r="F735">
        <v>13.31</v>
      </c>
      <c r="G735">
        <v>28.52</v>
      </c>
      <c r="H735">
        <v>0.36</v>
      </c>
      <c r="I735">
        <v>28</v>
      </c>
      <c r="J735">
        <v>295.36</v>
      </c>
      <c r="K735">
        <v>61.2</v>
      </c>
      <c r="L735">
        <v>6</v>
      </c>
      <c r="M735">
        <v>26</v>
      </c>
      <c r="N735">
        <v>83.16</v>
      </c>
      <c r="O735">
        <v>36662.22</v>
      </c>
      <c r="P735">
        <v>225.14</v>
      </c>
      <c r="Q735">
        <v>988.11</v>
      </c>
      <c r="R735">
        <v>54.9</v>
      </c>
      <c r="S735">
        <v>35.43</v>
      </c>
      <c r="T735">
        <v>8620.24</v>
      </c>
      <c r="U735">
        <v>0.65</v>
      </c>
      <c r="V735">
        <v>0.86</v>
      </c>
      <c r="W735">
        <v>3.01</v>
      </c>
      <c r="X735">
        <v>0.55000000000000004</v>
      </c>
      <c r="Y735">
        <v>1</v>
      </c>
      <c r="Z735">
        <v>10</v>
      </c>
    </row>
    <row r="736" spans="1:26" x14ac:dyDescent="0.3">
      <c r="A736">
        <v>21</v>
      </c>
      <c r="B736">
        <v>145</v>
      </c>
      <c r="C736" t="s">
        <v>26</v>
      </c>
      <c r="D736">
        <v>5.657</v>
      </c>
      <c r="E736">
        <v>17.68</v>
      </c>
      <c r="F736">
        <v>13.27</v>
      </c>
      <c r="G736">
        <v>29.5</v>
      </c>
      <c r="H736">
        <v>0.38</v>
      </c>
      <c r="I736">
        <v>27</v>
      </c>
      <c r="J736">
        <v>295.88</v>
      </c>
      <c r="K736">
        <v>61.2</v>
      </c>
      <c r="L736">
        <v>6.25</v>
      </c>
      <c r="M736">
        <v>25</v>
      </c>
      <c r="N736">
        <v>83.43</v>
      </c>
      <c r="O736">
        <v>36726.120000000003</v>
      </c>
      <c r="P736">
        <v>223.9</v>
      </c>
      <c r="Q736">
        <v>988.08</v>
      </c>
      <c r="R736">
        <v>53.93</v>
      </c>
      <c r="S736">
        <v>35.43</v>
      </c>
      <c r="T736">
        <v>8142.95</v>
      </c>
      <c r="U736">
        <v>0.66</v>
      </c>
      <c r="V736">
        <v>0.86</v>
      </c>
      <c r="W736">
        <v>3.01</v>
      </c>
      <c r="X736">
        <v>0.52</v>
      </c>
      <c r="Y736">
        <v>1</v>
      </c>
      <c r="Z736">
        <v>10</v>
      </c>
    </row>
    <row r="737" spans="1:26" x14ac:dyDescent="0.3">
      <c r="A737">
        <v>22</v>
      </c>
      <c r="B737">
        <v>145</v>
      </c>
      <c r="C737" t="s">
        <v>26</v>
      </c>
      <c r="D737">
        <v>5.681</v>
      </c>
      <c r="E737">
        <v>17.600000000000001</v>
      </c>
      <c r="F737">
        <v>13.25</v>
      </c>
      <c r="G737">
        <v>30.58</v>
      </c>
      <c r="H737">
        <v>0.39</v>
      </c>
      <c r="I737">
        <v>26</v>
      </c>
      <c r="J737">
        <v>296.39999999999998</v>
      </c>
      <c r="K737">
        <v>61.2</v>
      </c>
      <c r="L737">
        <v>6.5</v>
      </c>
      <c r="M737">
        <v>24</v>
      </c>
      <c r="N737">
        <v>83.7</v>
      </c>
      <c r="O737">
        <v>36790.129999999997</v>
      </c>
      <c r="P737">
        <v>223.19</v>
      </c>
      <c r="Q737">
        <v>988.2</v>
      </c>
      <c r="R737">
        <v>53.21</v>
      </c>
      <c r="S737">
        <v>35.43</v>
      </c>
      <c r="T737">
        <v>7785.02</v>
      </c>
      <c r="U737">
        <v>0.67</v>
      </c>
      <c r="V737">
        <v>0.86</v>
      </c>
      <c r="W737">
        <v>3.01</v>
      </c>
      <c r="X737">
        <v>0.5</v>
      </c>
      <c r="Y737">
        <v>1</v>
      </c>
      <c r="Z737">
        <v>10</v>
      </c>
    </row>
    <row r="738" spans="1:26" x14ac:dyDescent="0.3">
      <c r="A738">
        <v>23</v>
      </c>
      <c r="B738">
        <v>145</v>
      </c>
      <c r="C738" t="s">
        <v>26</v>
      </c>
      <c r="D738">
        <v>5.7035</v>
      </c>
      <c r="E738">
        <v>17.53</v>
      </c>
      <c r="F738">
        <v>13.24</v>
      </c>
      <c r="G738">
        <v>31.77</v>
      </c>
      <c r="H738">
        <v>0.4</v>
      </c>
      <c r="I738">
        <v>25</v>
      </c>
      <c r="J738">
        <v>296.92</v>
      </c>
      <c r="K738">
        <v>61.2</v>
      </c>
      <c r="L738">
        <v>6.75</v>
      </c>
      <c r="M738">
        <v>23</v>
      </c>
      <c r="N738">
        <v>83.97</v>
      </c>
      <c r="O738">
        <v>36854.25</v>
      </c>
      <c r="P738">
        <v>222.43</v>
      </c>
      <c r="Q738">
        <v>988.21</v>
      </c>
      <c r="R738">
        <v>52.85</v>
      </c>
      <c r="S738">
        <v>35.43</v>
      </c>
      <c r="T738">
        <v>7613.37</v>
      </c>
      <c r="U738">
        <v>0.67</v>
      </c>
      <c r="V738">
        <v>0.86</v>
      </c>
      <c r="W738">
        <v>3</v>
      </c>
      <c r="X738">
        <v>0.48</v>
      </c>
      <c r="Y738">
        <v>1</v>
      </c>
      <c r="Z738">
        <v>10</v>
      </c>
    </row>
    <row r="739" spans="1:26" x14ac:dyDescent="0.3">
      <c r="A739">
        <v>24</v>
      </c>
      <c r="B739">
        <v>145</v>
      </c>
      <c r="C739" t="s">
        <v>26</v>
      </c>
      <c r="D739">
        <v>5.7267000000000001</v>
      </c>
      <c r="E739">
        <v>17.46</v>
      </c>
      <c r="F739">
        <v>13.22</v>
      </c>
      <c r="G739">
        <v>33.049999999999997</v>
      </c>
      <c r="H739">
        <v>0.42</v>
      </c>
      <c r="I739">
        <v>24</v>
      </c>
      <c r="J739">
        <v>297.44</v>
      </c>
      <c r="K739">
        <v>61.2</v>
      </c>
      <c r="L739">
        <v>7</v>
      </c>
      <c r="M739">
        <v>22</v>
      </c>
      <c r="N739">
        <v>84.24</v>
      </c>
      <c r="O739">
        <v>36918.480000000003</v>
      </c>
      <c r="P739">
        <v>221.58</v>
      </c>
      <c r="Q739">
        <v>988.1</v>
      </c>
      <c r="R739">
        <v>52.17</v>
      </c>
      <c r="S739">
        <v>35.43</v>
      </c>
      <c r="T739">
        <v>7275.45</v>
      </c>
      <c r="U739">
        <v>0.68</v>
      </c>
      <c r="V739">
        <v>0.86</v>
      </c>
      <c r="W739">
        <v>3.01</v>
      </c>
      <c r="X739">
        <v>0.47</v>
      </c>
      <c r="Y739">
        <v>1</v>
      </c>
      <c r="Z739">
        <v>10</v>
      </c>
    </row>
    <row r="740" spans="1:26" x14ac:dyDescent="0.3">
      <c r="A740">
        <v>25</v>
      </c>
      <c r="B740">
        <v>145</v>
      </c>
      <c r="C740" t="s">
        <v>26</v>
      </c>
      <c r="D740">
        <v>5.7491000000000003</v>
      </c>
      <c r="E740">
        <v>17.39</v>
      </c>
      <c r="F740">
        <v>13.21</v>
      </c>
      <c r="G740">
        <v>34.450000000000003</v>
      </c>
      <c r="H740">
        <v>0.43</v>
      </c>
      <c r="I740">
        <v>23</v>
      </c>
      <c r="J740">
        <v>297.95999999999998</v>
      </c>
      <c r="K740">
        <v>61.2</v>
      </c>
      <c r="L740">
        <v>7.25</v>
      </c>
      <c r="M740">
        <v>21</v>
      </c>
      <c r="N740">
        <v>84.51</v>
      </c>
      <c r="O740">
        <v>36982.83</v>
      </c>
      <c r="P740">
        <v>220.69</v>
      </c>
      <c r="Q740">
        <v>988.15</v>
      </c>
      <c r="R740">
        <v>51.76</v>
      </c>
      <c r="S740">
        <v>35.43</v>
      </c>
      <c r="T740">
        <v>7078.31</v>
      </c>
      <c r="U740">
        <v>0.68</v>
      </c>
      <c r="V740">
        <v>0.86</v>
      </c>
      <c r="W740">
        <v>3</v>
      </c>
      <c r="X740">
        <v>0.45</v>
      </c>
      <c r="Y740">
        <v>1</v>
      </c>
      <c r="Z740">
        <v>10</v>
      </c>
    </row>
    <row r="741" spans="1:26" x14ac:dyDescent="0.3">
      <c r="A741">
        <v>26</v>
      </c>
      <c r="B741">
        <v>145</v>
      </c>
      <c r="C741" t="s">
        <v>26</v>
      </c>
      <c r="D741">
        <v>5.7784000000000004</v>
      </c>
      <c r="E741">
        <v>17.309999999999999</v>
      </c>
      <c r="F741">
        <v>13.17</v>
      </c>
      <c r="G741">
        <v>35.92</v>
      </c>
      <c r="H741">
        <v>0.45</v>
      </c>
      <c r="I741">
        <v>22</v>
      </c>
      <c r="J741">
        <v>298.48</v>
      </c>
      <c r="K741">
        <v>61.2</v>
      </c>
      <c r="L741">
        <v>7.5</v>
      </c>
      <c r="M741">
        <v>20</v>
      </c>
      <c r="N741">
        <v>84.79</v>
      </c>
      <c r="O741">
        <v>37047.29</v>
      </c>
      <c r="P741">
        <v>219.65</v>
      </c>
      <c r="Q741">
        <v>988.27</v>
      </c>
      <c r="R741">
        <v>50.61</v>
      </c>
      <c r="S741">
        <v>35.43</v>
      </c>
      <c r="T741">
        <v>6506.33</v>
      </c>
      <c r="U741">
        <v>0.7</v>
      </c>
      <c r="V741">
        <v>0.87</v>
      </c>
      <c r="W741">
        <v>3</v>
      </c>
      <c r="X741">
        <v>0.42</v>
      </c>
      <c r="Y741">
        <v>1</v>
      </c>
      <c r="Z741">
        <v>10</v>
      </c>
    </row>
    <row r="742" spans="1:26" x14ac:dyDescent="0.3">
      <c r="A742">
        <v>27</v>
      </c>
      <c r="B742">
        <v>145</v>
      </c>
      <c r="C742" t="s">
        <v>26</v>
      </c>
      <c r="D742">
        <v>5.7767999999999997</v>
      </c>
      <c r="E742">
        <v>17.309999999999999</v>
      </c>
      <c r="F742">
        <v>13.18</v>
      </c>
      <c r="G742">
        <v>35.93</v>
      </c>
      <c r="H742">
        <v>0.46</v>
      </c>
      <c r="I742">
        <v>22</v>
      </c>
      <c r="J742">
        <v>299.01</v>
      </c>
      <c r="K742">
        <v>61.2</v>
      </c>
      <c r="L742">
        <v>7.75</v>
      </c>
      <c r="M742">
        <v>20</v>
      </c>
      <c r="N742">
        <v>85.06</v>
      </c>
      <c r="O742">
        <v>37111.870000000003</v>
      </c>
      <c r="P742">
        <v>219.2</v>
      </c>
      <c r="Q742">
        <v>988.17</v>
      </c>
      <c r="R742">
        <v>50.91</v>
      </c>
      <c r="S742">
        <v>35.43</v>
      </c>
      <c r="T742">
        <v>6655.3</v>
      </c>
      <c r="U742">
        <v>0.7</v>
      </c>
      <c r="V742">
        <v>0.87</v>
      </c>
      <c r="W742">
        <v>3</v>
      </c>
      <c r="X742">
        <v>0.42</v>
      </c>
      <c r="Y742">
        <v>1</v>
      </c>
      <c r="Z742">
        <v>10</v>
      </c>
    </row>
    <row r="743" spans="1:26" x14ac:dyDescent="0.3">
      <c r="A743">
        <v>28</v>
      </c>
      <c r="B743">
        <v>145</v>
      </c>
      <c r="C743" t="s">
        <v>26</v>
      </c>
      <c r="D743">
        <v>5.798</v>
      </c>
      <c r="E743">
        <v>17.25</v>
      </c>
      <c r="F743">
        <v>13.17</v>
      </c>
      <c r="G743">
        <v>37.619999999999997</v>
      </c>
      <c r="H743">
        <v>0.48</v>
      </c>
      <c r="I743">
        <v>21</v>
      </c>
      <c r="J743">
        <v>299.52999999999997</v>
      </c>
      <c r="K743">
        <v>61.2</v>
      </c>
      <c r="L743">
        <v>8</v>
      </c>
      <c r="M743">
        <v>19</v>
      </c>
      <c r="N743">
        <v>85.33</v>
      </c>
      <c r="O743">
        <v>37176.68</v>
      </c>
      <c r="P743">
        <v>218.26</v>
      </c>
      <c r="Q743">
        <v>988.13</v>
      </c>
      <c r="R743">
        <v>50.56</v>
      </c>
      <c r="S743">
        <v>35.43</v>
      </c>
      <c r="T743">
        <v>6485.97</v>
      </c>
      <c r="U743">
        <v>0.7</v>
      </c>
      <c r="V743">
        <v>0.87</v>
      </c>
      <c r="W743">
        <v>3</v>
      </c>
      <c r="X743">
        <v>0.41</v>
      </c>
      <c r="Y743">
        <v>1</v>
      </c>
      <c r="Z743">
        <v>10</v>
      </c>
    </row>
    <row r="744" spans="1:26" x14ac:dyDescent="0.3">
      <c r="A744">
        <v>29</v>
      </c>
      <c r="B744">
        <v>145</v>
      </c>
      <c r="C744" t="s">
        <v>26</v>
      </c>
      <c r="D744">
        <v>5.8289999999999997</v>
      </c>
      <c r="E744">
        <v>17.16</v>
      </c>
      <c r="F744">
        <v>13.13</v>
      </c>
      <c r="G744">
        <v>39.39</v>
      </c>
      <c r="H744">
        <v>0.49</v>
      </c>
      <c r="I744">
        <v>20</v>
      </c>
      <c r="J744">
        <v>300.06</v>
      </c>
      <c r="K744">
        <v>61.2</v>
      </c>
      <c r="L744">
        <v>8.25</v>
      </c>
      <c r="M744">
        <v>18</v>
      </c>
      <c r="N744">
        <v>85.61</v>
      </c>
      <c r="O744">
        <v>37241.49</v>
      </c>
      <c r="P744">
        <v>217.55</v>
      </c>
      <c r="Q744">
        <v>988.18</v>
      </c>
      <c r="R744">
        <v>49.3</v>
      </c>
      <c r="S744">
        <v>35.43</v>
      </c>
      <c r="T744">
        <v>5861.86</v>
      </c>
      <c r="U744">
        <v>0.72</v>
      </c>
      <c r="V744">
        <v>0.87</v>
      </c>
      <c r="W744">
        <v>3</v>
      </c>
      <c r="X744">
        <v>0.37</v>
      </c>
      <c r="Y744">
        <v>1</v>
      </c>
      <c r="Z744">
        <v>10</v>
      </c>
    </row>
    <row r="745" spans="1:26" x14ac:dyDescent="0.3">
      <c r="A745">
        <v>30</v>
      </c>
      <c r="B745">
        <v>145</v>
      </c>
      <c r="C745" t="s">
        <v>26</v>
      </c>
      <c r="D745">
        <v>5.8316999999999997</v>
      </c>
      <c r="E745">
        <v>17.149999999999999</v>
      </c>
      <c r="F745">
        <v>13.12</v>
      </c>
      <c r="G745">
        <v>39.36</v>
      </c>
      <c r="H745">
        <v>0.5</v>
      </c>
      <c r="I745">
        <v>20</v>
      </c>
      <c r="J745">
        <v>300.58999999999997</v>
      </c>
      <c r="K745">
        <v>61.2</v>
      </c>
      <c r="L745">
        <v>8.5</v>
      </c>
      <c r="M745">
        <v>18</v>
      </c>
      <c r="N745">
        <v>85.89</v>
      </c>
      <c r="O745">
        <v>37306.42</v>
      </c>
      <c r="P745">
        <v>216.6</v>
      </c>
      <c r="Q745">
        <v>988.1</v>
      </c>
      <c r="R745">
        <v>49.03</v>
      </c>
      <c r="S745">
        <v>35.43</v>
      </c>
      <c r="T745">
        <v>5727.2</v>
      </c>
      <c r="U745">
        <v>0.72</v>
      </c>
      <c r="V745">
        <v>0.87</v>
      </c>
      <c r="W745">
        <v>3</v>
      </c>
      <c r="X745">
        <v>0.37</v>
      </c>
      <c r="Y745">
        <v>1</v>
      </c>
      <c r="Z745">
        <v>10</v>
      </c>
    </row>
    <row r="746" spans="1:26" x14ac:dyDescent="0.3">
      <c r="A746">
        <v>31</v>
      </c>
      <c r="B746">
        <v>145</v>
      </c>
      <c r="C746" t="s">
        <v>26</v>
      </c>
      <c r="D746">
        <v>5.8543000000000003</v>
      </c>
      <c r="E746">
        <v>17.079999999999998</v>
      </c>
      <c r="F746">
        <v>13.11</v>
      </c>
      <c r="G746">
        <v>41.39</v>
      </c>
      <c r="H746">
        <v>0.52</v>
      </c>
      <c r="I746">
        <v>19</v>
      </c>
      <c r="J746">
        <v>301.11</v>
      </c>
      <c r="K746">
        <v>61.2</v>
      </c>
      <c r="L746">
        <v>8.75</v>
      </c>
      <c r="M746">
        <v>17</v>
      </c>
      <c r="N746">
        <v>86.16</v>
      </c>
      <c r="O746">
        <v>37371.47</v>
      </c>
      <c r="P746">
        <v>215.82</v>
      </c>
      <c r="Q746">
        <v>988.3</v>
      </c>
      <c r="R746">
        <v>48.71</v>
      </c>
      <c r="S746">
        <v>35.43</v>
      </c>
      <c r="T746">
        <v>5569.29</v>
      </c>
      <c r="U746">
        <v>0.73</v>
      </c>
      <c r="V746">
        <v>0.87</v>
      </c>
      <c r="W746">
        <v>2.99</v>
      </c>
      <c r="X746">
        <v>0.35</v>
      </c>
      <c r="Y746">
        <v>1</v>
      </c>
      <c r="Z746">
        <v>10</v>
      </c>
    </row>
    <row r="747" spans="1:26" x14ac:dyDescent="0.3">
      <c r="A747">
        <v>32</v>
      </c>
      <c r="B747">
        <v>145</v>
      </c>
      <c r="C747" t="s">
        <v>26</v>
      </c>
      <c r="D747">
        <v>5.8554000000000004</v>
      </c>
      <c r="E747">
        <v>17.079999999999998</v>
      </c>
      <c r="F747">
        <v>13.11</v>
      </c>
      <c r="G747">
        <v>41.39</v>
      </c>
      <c r="H747">
        <v>0.53</v>
      </c>
      <c r="I747">
        <v>19</v>
      </c>
      <c r="J747">
        <v>301.64</v>
      </c>
      <c r="K747">
        <v>61.2</v>
      </c>
      <c r="L747">
        <v>9</v>
      </c>
      <c r="M747">
        <v>17</v>
      </c>
      <c r="N747">
        <v>86.44</v>
      </c>
      <c r="O747">
        <v>37436.629999999997</v>
      </c>
      <c r="P747">
        <v>214.85</v>
      </c>
      <c r="Q747">
        <v>988.17</v>
      </c>
      <c r="R747">
        <v>48.79</v>
      </c>
      <c r="S747">
        <v>35.43</v>
      </c>
      <c r="T747">
        <v>5611.97</v>
      </c>
      <c r="U747">
        <v>0.73</v>
      </c>
      <c r="V747">
        <v>0.87</v>
      </c>
      <c r="W747">
        <v>2.99</v>
      </c>
      <c r="X747">
        <v>0.35</v>
      </c>
      <c r="Y747">
        <v>1</v>
      </c>
      <c r="Z747">
        <v>10</v>
      </c>
    </row>
    <row r="748" spans="1:26" x14ac:dyDescent="0.3">
      <c r="A748">
        <v>33</v>
      </c>
      <c r="B748">
        <v>145</v>
      </c>
      <c r="C748" t="s">
        <v>26</v>
      </c>
      <c r="D748">
        <v>5.8769</v>
      </c>
      <c r="E748">
        <v>17.02</v>
      </c>
      <c r="F748">
        <v>13.1</v>
      </c>
      <c r="G748">
        <v>43.66</v>
      </c>
      <c r="H748">
        <v>0.55000000000000004</v>
      </c>
      <c r="I748">
        <v>18</v>
      </c>
      <c r="J748">
        <v>302.17</v>
      </c>
      <c r="K748">
        <v>61.2</v>
      </c>
      <c r="L748">
        <v>9.25</v>
      </c>
      <c r="M748">
        <v>16</v>
      </c>
      <c r="N748">
        <v>86.72</v>
      </c>
      <c r="O748">
        <v>37501.910000000003</v>
      </c>
      <c r="P748">
        <v>214.58</v>
      </c>
      <c r="Q748">
        <v>988.17</v>
      </c>
      <c r="R748">
        <v>48.08</v>
      </c>
      <c r="S748">
        <v>35.43</v>
      </c>
      <c r="T748">
        <v>5262.68</v>
      </c>
      <c r="U748">
        <v>0.74</v>
      </c>
      <c r="V748">
        <v>0.87</v>
      </c>
      <c r="W748">
        <v>3</v>
      </c>
      <c r="X748">
        <v>0.34</v>
      </c>
      <c r="Y748">
        <v>1</v>
      </c>
      <c r="Z748">
        <v>10</v>
      </c>
    </row>
    <row r="749" spans="1:26" x14ac:dyDescent="0.3">
      <c r="A749">
        <v>34</v>
      </c>
      <c r="B749">
        <v>145</v>
      </c>
      <c r="C749" t="s">
        <v>26</v>
      </c>
      <c r="D749">
        <v>5.9078999999999997</v>
      </c>
      <c r="E749">
        <v>16.93</v>
      </c>
      <c r="F749">
        <v>13.06</v>
      </c>
      <c r="G749">
        <v>46.1</v>
      </c>
      <c r="H749">
        <v>0.56000000000000005</v>
      </c>
      <c r="I749">
        <v>17</v>
      </c>
      <c r="J749">
        <v>302.7</v>
      </c>
      <c r="K749">
        <v>61.2</v>
      </c>
      <c r="L749">
        <v>9.5</v>
      </c>
      <c r="M749">
        <v>15</v>
      </c>
      <c r="N749">
        <v>87</v>
      </c>
      <c r="O749">
        <v>37567.32</v>
      </c>
      <c r="P749">
        <v>212.01</v>
      </c>
      <c r="Q749">
        <v>988.08</v>
      </c>
      <c r="R749">
        <v>47.34</v>
      </c>
      <c r="S749">
        <v>35.43</v>
      </c>
      <c r="T749">
        <v>4897.4799999999996</v>
      </c>
      <c r="U749">
        <v>0.75</v>
      </c>
      <c r="V749">
        <v>0.87</v>
      </c>
      <c r="W749">
        <v>2.99</v>
      </c>
      <c r="X749">
        <v>0.31</v>
      </c>
      <c r="Y749">
        <v>1</v>
      </c>
      <c r="Z749">
        <v>10</v>
      </c>
    </row>
    <row r="750" spans="1:26" x14ac:dyDescent="0.3">
      <c r="A750">
        <v>35</v>
      </c>
      <c r="B750">
        <v>145</v>
      </c>
      <c r="C750" t="s">
        <v>26</v>
      </c>
      <c r="D750">
        <v>5.9062000000000001</v>
      </c>
      <c r="E750">
        <v>16.93</v>
      </c>
      <c r="F750">
        <v>13.07</v>
      </c>
      <c r="G750">
        <v>46.12</v>
      </c>
      <c r="H750">
        <v>0.56999999999999995</v>
      </c>
      <c r="I750">
        <v>17</v>
      </c>
      <c r="J750">
        <v>303.23</v>
      </c>
      <c r="K750">
        <v>61.2</v>
      </c>
      <c r="L750">
        <v>9.75</v>
      </c>
      <c r="M750">
        <v>15</v>
      </c>
      <c r="N750">
        <v>87.28</v>
      </c>
      <c r="O750">
        <v>37632.839999999997</v>
      </c>
      <c r="P750">
        <v>212.32</v>
      </c>
      <c r="Q750">
        <v>988.12</v>
      </c>
      <c r="R750">
        <v>47.66</v>
      </c>
      <c r="S750">
        <v>35.43</v>
      </c>
      <c r="T750">
        <v>5058.13</v>
      </c>
      <c r="U750">
        <v>0.74</v>
      </c>
      <c r="V750">
        <v>0.87</v>
      </c>
      <c r="W750">
        <v>2.98</v>
      </c>
      <c r="X750">
        <v>0.31</v>
      </c>
      <c r="Y750">
        <v>1</v>
      </c>
      <c r="Z750">
        <v>10</v>
      </c>
    </row>
    <row r="751" spans="1:26" x14ac:dyDescent="0.3">
      <c r="A751">
        <v>36</v>
      </c>
      <c r="B751">
        <v>145</v>
      </c>
      <c r="C751" t="s">
        <v>26</v>
      </c>
      <c r="D751">
        <v>5.9051</v>
      </c>
      <c r="E751">
        <v>16.93</v>
      </c>
      <c r="F751">
        <v>13.07</v>
      </c>
      <c r="G751">
        <v>46.13</v>
      </c>
      <c r="H751">
        <v>0.59</v>
      </c>
      <c r="I751">
        <v>17</v>
      </c>
      <c r="J751">
        <v>303.76</v>
      </c>
      <c r="K751">
        <v>61.2</v>
      </c>
      <c r="L751">
        <v>10</v>
      </c>
      <c r="M751">
        <v>15</v>
      </c>
      <c r="N751">
        <v>87.57</v>
      </c>
      <c r="O751">
        <v>37698.480000000003</v>
      </c>
      <c r="P751">
        <v>211.4</v>
      </c>
      <c r="Q751">
        <v>988.1</v>
      </c>
      <c r="R751">
        <v>47.58</v>
      </c>
      <c r="S751">
        <v>35.43</v>
      </c>
      <c r="T751">
        <v>5014.3599999999997</v>
      </c>
      <c r="U751">
        <v>0.74</v>
      </c>
      <c r="V751">
        <v>0.87</v>
      </c>
      <c r="W751">
        <v>2.99</v>
      </c>
      <c r="X751">
        <v>0.32</v>
      </c>
      <c r="Y751">
        <v>1</v>
      </c>
      <c r="Z751">
        <v>10</v>
      </c>
    </row>
    <row r="752" spans="1:26" x14ac:dyDescent="0.3">
      <c r="A752">
        <v>37</v>
      </c>
      <c r="B752">
        <v>145</v>
      </c>
      <c r="C752" t="s">
        <v>26</v>
      </c>
      <c r="D752">
        <v>5.9284999999999997</v>
      </c>
      <c r="E752">
        <v>16.87</v>
      </c>
      <c r="F752">
        <v>13.06</v>
      </c>
      <c r="G752">
        <v>48.96</v>
      </c>
      <c r="H752">
        <v>0.6</v>
      </c>
      <c r="I752">
        <v>16</v>
      </c>
      <c r="J752">
        <v>304.3</v>
      </c>
      <c r="K752">
        <v>61.2</v>
      </c>
      <c r="L752">
        <v>10.25</v>
      </c>
      <c r="M752">
        <v>14</v>
      </c>
      <c r="N752">
        <v>87.85</v>
      </c>
      <c r="O752">
        <v>37764.25</v>
      </c>
      <c r="P752">
        <v>211.16</v>
      </c>
      <c r="Q752">
        <v>988.1</v>
      </c>
      <c r="R752">
        <v>46.88</v>
      </c>
      <c r="S752">
        <v>35.43</v>
      </c>
      <c r="T752">
        <v>4668.66</v>
      </c>
      <c r="U752">
        <v>0.76</v>
      </c>
      <c r="V752">
        <v>0.87</v>
      </c>
      <c r="W752">
        <v>3</v>
      </c>
      <c r="X752">
        <v>0.3</v>
      </c>
      <c r="Y752">
        <v>1</v>
      </c>
      <c r="Z752">
        <v>10</v>
      </c>
    </row>
    <row r="753" spans="1:26" x14ac:dyDescent="0.3">
      <c r="A753">
        <v>38</v>
      </c>
      <c r="B753">
        <v>145</v>
      </c>
      <c r="C753" t="s">
        <v>26</v>
      </c>
      <c r="D753">
        <v>5.9271000000000003</v>
      </c>
      <c r="E753">
        <v>16.87</v>
      </c>
      <c r="F753">
        <v>13.06</v>
      </c>
      <c r="G753">
        <v>48.98</v>
      </c>
      <c r="H753">
        <v>0.61</v>
      </c>
      <c r="I753">
        <v>16</v>
      </c>
      <c r="J753">
        <v>304.83</v>
      </c>
      <c r="K753">
        <v>61.2</v>
      </c>
      <c r="L753">
        <v>10.5</v>
      </c>
      <c r="M753">
        <v>14</v>
      </c>
      <c r="N753">
        <v>88.13</v>
      </c>
      <c r="O753">
        <v>37830.129999999997</v>
      </c>
      <c r="P753">
        <v>210.7</v>
      </c>
      <c r="Q753">
        <v>988.13</v>
      </c>
      <c r="R753">
        <v>47.3</v>
      </c>
      <c r="S753">
        <v>35.43</v>
      </c>
      <c r="T753">
        <v>4883.4799999999996</v>
      </c>
      <c r="U753">
        <v>0.75</v>
      </c>
      <c r="V753">
        <v>0.87</v>
      </c>
      <c r="W753">
        <v>2.99</v>
      </c>
      <c r="X753">
        <v>0.31</v>
      </c>
      <c r="Y753">
        <v>1</v>
      </c>
      <c r="Z753">
        <v>10</v>
      </c>
    </row>
    <row r="754" spans="1:26" x14ac:dyDescent="0.3">
      <c r="A754">
        <v>39</v>
      </c>
      <c r="B754">
        <v>145</v>
      </c>
      <c r="C754" t="s">
        <v>26</v>
      </c>
      <c r="D754">
        <v>5.9546999999999999</v>
      </c>
      <c r="E754">
        <v>16.79</v>
      </c>
      <c r="F754">
        <v>13.04</v>
      </c>
      <c r="G754">
        <v>52.14</v>
      </c>
      <c r="H754">
        <v>0.63</v>
      </c>
      <c r="I754">
        <v>15</v>
      </c>
      <c r="J754">
        <v>305.37</v>
      </c>
      <c r="K754">
        <v>61.2</v>
      </c>
      <c r="L754">
        <v>10.75</v>
      </c>
      <c r="M754">
        <v>13</v>
      </c>
      <c r="N754">
        <v>88.42</v>
      </c>
      <c r="O754">
        <v>37896.14</v>
      </c>
      <c r="P754">
        <v>209.38</v>
      </c>
      <c r="Q754">
        <v>988.1</v>
      </c>
      <c r="R754">
        <v>46.64</v>
      </c>
      <c r="S754">
        <v>35.43</v>
      </c>
      <c r="T754">
        <v>4557.33</v>
      </c>
      <c r="U754">
        <v>0.76</v>
      </c>
      <c r="V754">
        <v>0.87</v>
      </c>
      <c r="W754">
        <v>2.99</v>
      </c>
      <c r="X754">
        <v>0.28000000000000003</v>
      </c>
      <c r="Y754">
        <v>1</v>
      </c>
      <c r="Z754">
        <v>10</v>
      </c>
    </row>
    <row r="755" spans="1:26" x14ac:dyDescent="0.3">
      <c r="A755">
        <v>40</v>
      </c>
      <c r="B755">
        <v>145</v>
      </c>
      <c r="C755" t="s">
        <v>26</v>
      </c>
      <c r="D755">
        <v>5.9545000000000003</v>
      </c>
      <c r="E755">
        <v>16.79</v>
      </c>
      <c r="F755">
        <v>13.04</v>
      </c>
      <c r="G755">
        <v>52.15</v>
      </c>
      <c r="H755">
        <v>0.64</v>
      </c>
      <c r="I755">
        <v>15</v>
      </c>
      <c r="J755">
        <v>305.89999999999998</v>
      </c>
      <c r="K755">
        <v>61.2</v>
      </c>
      <c r="L755">
        <v>11</v>
      </c>
      <c r="M755">
        <v>13</v>
      </c>
      <c r="N755">
        <v>88.7</v>
      </c>
      <c r="O755">
        <v>37962.28</v>
      </c>
      <c r="P755">
        <v>209.01</v>
      </c>
      <c r="Q755">
        <v>988.11</v>
      </c>
      <c r="R755">
        <v>46.57</v>
      </c>
      <c r="S755">
        <v>35.43</v>
      </c>
      <c r="T755">
        <v>4519.84</v>
      </c>
      <c r="U755">
        <v>0.76</v>
      </c>
      <c r="V755">
        <v>0.87</v>
      </c>
      <c r="W755">
        <v>2.99</v>
      </c>
      <c r="X755">
        <v>0.28000000000000003</v>
      </c>
      <c r="Y755">
        <v>1</v>
      </c>
      <c r="Z755">
        <v>10</v>
      </c>
    </row>
    <row r="756" spans="1:26" x14ac:dyDescent="0.3">
      <c r="A756">
        <v>41</v>
      </c>
      <c r="B756">
        <v>145</v>
      </c>
      <c r="C756" t="s">
        <v>26</v>
      </c>
      <c r="D756">
        <v>5.9587000000000003</v>
      </c>
      <c r="E756">
        <v>16.78</v>
      </c>
      <c r="F756">
        <v>13.02</v>
      </c>
      <c r="G756">
        <v>52.1</v>
      </c>
      <c r="H756">
        <v>0.65</v>
      </c>
      <c r="I756">
        <v>15</v>
      </c>
      <c r="J756">
        <v>306.44</v>
      </c>
      <c r="K756">
        <v>61.2</v>
      </c>
      <c r="L756">
        <v>11.25</v>
      </c>
      <c r="M756">
        <v>13</v>
      </c>
      <c r="N756">
        <v>88.99</v>
      </c>
      <c r="O756">
        <v>38028.53</v>
      </c>
      <c r="P756">
        <v>208.37</v>
      </c>
      <c r="Q756">
        <v>988.1</v>
      </c>
      <c r="R756">
        <v>46.2</v>
      </c>
      <c r="S756">
        <v>35.43</v>
      </c>
      <c r="T756">
        <v>4337.12</v>
      </c>
      <c r="U756">
        <v>0.77</v>
      </c>
      <c r="V756">
        <v>0.88</v>
      </c>
      <c r="W756">
        <v>2.99</v>
      </c>
      <c r="X756">
        <v>0.27</v>
      </c>
      <c r="Y756">
        <v>1</v>
      </c>
      <c r="Z756">
        <v>10</v>
      </c>
    </row>
    <row r="757" spans="1:26" x14ac:dyDescent="0.3">
      <c r="A757">
        <v>42</v>
      </c>
      <c r="B757">
        <v>145</v>
      </c>
      <c r="C757" t="s">
        <v>26</v>
      </c>
      <c r="D757">
        <v>5.9828000000000001</v>
      </c>
      <c r="E757">
        <v>16.71</v>
      </c>
      <c r="F757">
        <v>13.01</v>
      </c>
      <c r="G757">
        <v>55.76</v>
      </c>
      <c r="H757">
        <v>0.67</v>
      </c>
      <c r="I757">
        <v>14</v>
      </c>
      <c r="J757">
        <v>306.98</v>
      </c>
      <c r="K757">
        <v>61.2</v>
      </c>
      <c r="L757">
        <v>11.5</v>
      </c>
      <c r="M757">
        <v>12</v>
      </c>
      <c r="N757">
        <v>89.28</v>
      </c>
      <c r="O757">
        <v>38094.910000000003</v>
      </c>
      <c r="P757">
        <v>207.36</v>
      </c>
      <c r="Q757">
        <v>988.13</v>
      </c>
      <c r="R757">
        <v>45.58</v>
      </c>
      <c r="S757">
        <v>35.43</v>
      </c>
      <c r="T757">
        <v>4033.19</v>
      </c>
      <c r="U757">
        <v>0.78</v>
      </c>
      <c r="V757">
        <v>0.88</v>
      </c>
      <c r="W757">
        <v>2.99</v>
      </c>
      <c r="X757">
        <v>0.26</v>
      </c>
      <c r="Y757">
        <v>1</v>
      </c>
      <c r="Z757">
        <v>10</v>
      </c>
    </row>
    <row r="758" spans="1:26" x14ac:dyDescent="0.3">
      <c r="A758">
        <v>43</v>
      </c>
      <c r="B758">
        <v>145</v>
      </c>
      <c r="C758" t="s">
        <v>26</v>
      </c>
      <c r="D758">
        <v>5.9861000000000004</v>
      </c>
      <c r="E758">
        <v>16.71</v>
      </c>
      <c r="F758">
        <v>13</v>
      </c>
      <c r="G758">
        <v>55.72</v>
      </c>
      <c r="H758">
        <v>0.68</v>
      </c>
      <c r="I758">
        <v>14</v>
      </c>
      <c r="J758">
        <v>307.52</v>
      </c>
      <c r="K758">
        <v>61.2</v>
      </c>
      <c r="L758">
        <v>11.75</v>
      </c>
      <c r="M758">
        <v>12</v>
      </c>
      <c r="N758">
        <v>89.57</v>
      </c>
      <c r="O758">
        <v>38161.42</v>
      </c>
      <c r="P758">
        <v>207.21</v>
      </c>
      <c r="Q758">
        <v>988.17</v>
      </c>
      <c r="R758">
        <v>45.48</v>
      </c>
      <c r="S758">
        <v>35.43</v>
      </c>
      <c r="T758">
        <v>3981.96</v>
      </c>
      <c r="U758">
        <v>0.78</v>
      </c>
      <c r="V758">
        <v>0.88</v>
      </c>
      <c r="W758">
        <v>2.99</v>
      </c>
      <c r="X758">
        <v>0.25</v>
      </c>
      <c r="Y758">
        <v>1</v>
      </c>
      <c r="Z758">
        <v>10</v>
      </c>
    </row>
    <row r="759" spans="1:26" x14ac:dyDescent="0.3">
      <c r="A759">
        <v>44</v>
      </c>
      <c r="B759">
        <v>145</v>
      </c>
      <c r="C759" t="s">
        <v>26</v>
      </c>
      <c r="D759">
        <v>5.9863</v>
      </c>
      <c r="E759">
        <v>16.7</v>
      </c>
      <c r="F759">
        <v>13</v>
      </c>
      <c r="G759">
        <v>55.72</v>
      </c>
      <c r="H759">
        <v>0.69</v>
      </c>
      <c r="I759">
        <v>14</v>
      </c>
      <c r="J759">
        <v>308.06</v>
      </c>
      <c r="K759">
        <v>61.2</v>
      </c>
      <c r="L759">
        <v>12</v>
      </c>
      <c r="M759">
        <v>12</v>
      </c>
      <c r="N759">
        <v>89.86</v>
      </c>
      <c r="O759">
        <v>38228.06</v>
      </c>
      <c r="P759">
        <v>206.3</v>
      </c>
      <c r="Q759">
        <v>988.12</v>
      </c>
      <c r="R759">
        <v>45.23</v>
      </c>
      <c r="S759">
        <v>35.43</v>
      </c>
      <c r="T759">
        <v>3858.57</v>
      </c>
      <c r="U759">
        <v>0.78</v>
      </c>
      <c r="V759">
        <v>0.88</v>
      </c>
      <c r="W759">
        <v>2.99</v>
      </c>
      <c r="X759">
        <v>0.25</v>
      </c>
      <c r="Y759">
        <v>1</v>
      </c>
      <c r="Z759">
        <v>10</v>
      </c>
    </row>
    <row r="760" spans="1:26" x14ac:dyDescent="0.3">
      <c r="A760">
        <v>45</v>
      </c>
      <c r="B760">
        <v>145</v>
      </c>
      <c r="C760" t="s">
        <v>26</v>
      </c>
      <c r="D760">
        <v>6.0117000000000003</v>
      </c>
      <c r="E760">
        <v>16.63</v>
      </c>
      <c r="F760">
        <v>12.98</v>
      </c>
      <c r="G760">
        <v>59.93</v>
      </c>
      <c r="H760">
        <v>0.71</v>
      </c>
      <c r="I760">
        <v>13</v>
      </c>
      <c r="J760">
        <v>308.60000000000002</v>
      </c>
      <c r="K760">
        <v>61.2</v>
      </c>
      <c r="L760">
        <v>12.25</v>
      </c>
      <c r="M760">
        <v>11</v>
      </c>
      <c r="N760">
        <v>90.15</v>
      </c>
      <c r="O760">
        <v>38294.82</v>
      </c>
      <c r="P760">
        <v>204.67</v>
      </c>
      <c r="Q760">
        <v>988.09</v>
      </c>
      <c r="R760">
        <v>44.97</v>
      </c>
      <c r="S760">
        <v>35.43</v>
      </c>
      <c r="T760">
        <v>3730.52</v>
      </c>
      <c r="U760">
        <v>0.79</v>
      </c>
      <c r="V760">
        <v>0.88</v>
      </c>
      <c r="W760">
        <v>2.98</v>
      </c>
      <c r="X760">
        <v>0.23</v>
      </c>
      <c r="Y760">
        <v>1</v>
      </c>
      <c r="Z760">
        <v>10</v>
      </c>
    </row>
    <row r="761" spans="1:26" x14ac:dyDescent="0.3">
      <c r="A761">
        <v>46</v>
      </c>
      <c r="B761">
        <v>145</v>
      </c>
      <c r="C761" t="s">
        <v>26</v>
      </c>
      <c r="D761">
        <v>6.0076000000000001</v>
      </c>
      <c r="E761">
        <v>16.649999999999999</v>
      </c>
      <c r="F761">
        <v>13</v>
      </c>
      <c r="G761">
        <v>59.98</v>
      </c>
      <c r="H761">
        <v>0.72</v>
      </c>
      <c r="I761">
        <v>13</v>
      </c>
      <c r="J761">
        <v>309.14</v>
      </c>
      <c r="K761">
        <v>61.2</v>
      </c>
      <c r="L761">
        <v>12.5</v>
      </c>
      <c r="M761">
        <v>11</v>
      </c>
      <c r="N761">
        <v>90.44</v>
      </c>
      <c r="O761">
        <v>38361.699999999997</v>
      </c>
      <c r="P761">
        <v>204.64</v>
      </c>
      <c r="Q761">
        <v>988.13</v>
      </c>
      <c r="R761">
        <v>45.32</v>
      </c>
      <c r="S761">
        <v>35.43</v>
      </c>
      <c r="T761">
        <v>3905.17</v>
      </c>
      <c r="U761">
        <v>0.78</v>
      </c>
      <c r="V761">
        <v>0.88</v>
      </c>
      <c r="W761">
        <v>2.98</v>
      </c>
      <c r="X761">
        <v>0.24</v>
      </c>
      <c r="Y761">
        <v>1</v>
      </c>
      <c r="Z761">
        <v>10</v>
      </c>
    </row>
    <row r="762" spans="1:26" x14ac:dyDescent="0.3">
      <c r="A762">
        <v>47</v>
      </c>
      <c r="B762">
        <v>145</v>
      </c>
      <c r="C762" t="s">
        <v>26</v>
      </c>
      <c r="D762">
        <v>6.0084999999999997</v>
      </c>
      <c r="E762">
        <v>16.64</v>
      </c>
      <c r="F762">
        <v>12.99</v>
      </c>
      <c r="G762">
        <v>59.97</v>
      </c>
      <c r="H762">
        <v>0.73</v>
      </c>
      <c r="I762">
        <v>13</v>
      </c>
      <c r="J762">
        <v>309.68</v>
      </c>
      <c r="K762">
        <v>61.2</v>
      </c>
      <c r="L762">
        <v>12.75</v>
      </c>
      <c r="M762">
        <v>11</v>
      </c>
      <c r="N762">
        <v>90.74</v>
      </c>
      <c r="O762">
        <v>38428.720000000001</v>
      </c>
      <c r="P762">
        <v>204.09</v>
      </c>
      <c r="Q762">
        <v>988.15</v>
      </c>
      <c r="R762">
        <v>45.12</v>
      </c>
      <c r="S762">
        <v>35.43</v>
      </c>
      <c r="T762">
        <v>3808.43</v>
      </c>
      <c r="U762">
        <v>0.79</v>
      </c>
      <c r="V762">
        <v>0.88</v>
      </c>
      <c r="W762">
        <v>2.99</v>
      </c>
      <c r="X762">
        <v>0.24</v>
      </c>
      <c r="Y762">
        <v>1</v>
      </c>
      <c r="Z762">
        <v>10</v>
      </c>
    </row>
    <row r="763" spans="1:26" x14ac:dyDescent="0.3">
      <c r="A763">
        <v>48</v>
      </c>
      <c r="B763">
        <v>145</v>
      </c>
      <c r="C763" t="s">
        <v>26</v>
      </c>
      <c r="D763">
        <v>6.0143000000000004</v>
      </c>
      <c r="E763">
        <v>16.63</v>
      </c>
      <c r="F763">
        <v>12.98</v>
      </c>
      <c r="G763">
        <v>59.89</v>
      </c>
      <c r="H763">
        <v>0.75</v>
      </c>
      <c r="I763">
        <v>13</v>
      </c>
      <c r="J763">
        <v>310.23</v>
      </c>
      <c r="K763">
        <v>61.2</v>
      </c>
      <c r="L763">
        <v>13</v>
      </c>
      <c r="M763">
        <v>11</v>
      </c>
      <c r="N763">
        <v>91.03</v>
      </c>
      <c r="O763">
        <v>38495.870000000003</v>
      </c>
      <c r="P763">
        <v>202.84</v>
      </c>
      <c r="Q763">
        <v>988.08</v>
      </c>
      <c r="R763">
        <v>44.68</v>
      </c>
      <c r="S763">
        <v>35.43</v>
      </c>
      <c r="T763">
        <v>3586.44</v>
      </c>
      <c r="U763">
        <v>0.79</v>
      </c>
      <c r="V763">
        <v>0.88</v>
      </c>
      <c r="W763">
        <v>2.98</v>
      </c>
      <c r="X763">
        <v>0.22</v>
      </c>
      <c r="Y763">
        <v>1</v>
      </c>
      <c r="Z763">
        <v>10</v>
      </c>
    </row>
    <row r="764" spans="1:26" x14ac:dyDescent="0.3">
      <c r="A764">
        <v>49</v>
      </c>
      <c r="B764">
        <v>145</v>
      </c>
      <c r="C764" t="s">
        <v>26</v>
      </c>
      <c r="D764">
        <v>6.0377999999999998</v>
      </c>
      <c r="E764">
        <v>16.559999999999999</v>
      </c>
      <c r="F764">
        <v>12.97</v>
      </c>
      <c r="G764">
        <v>64.83</v>
      </c>
      <c r="H764">
        <v>0.76</v>
      </c>
      <c r="I764">
        <v>12</v>
      </c>
      <c r="J764">
        <v>310.77</v>
      </c>
      <c r="K764">
        <v>61.2</v>
      </c>
      <c r="L764">
        <v>13.25</v>
      </c>
      <c r="M764">
        <v>10</v>
      </c>
      <c r="N764">
        <v>91.33</v>
      </c>
      <c r="O764">
        <v>38563.14</v>
      </c>
      <c r="P764">
        <v>201.94</v>
      </c>
      <c r="Q764">
        <v>988.08</v>
      </c>
      <c r="R764">
        <v>44.42</v>
      </c>
      <c r="S764">
        <v>35.43</v>
      </c>
      <c r="T764">
        <v>3458.75</v>
      </c>
      <c r="U764">
        <v>0.8</v>
      </c>
      <c r="V764">
        <v>0.88</v>
      </c>
      <c r="W764">
        <v>2.98</v>
      </c>
      <c r="X764">
        <v>0.21</v>
      </c>
      <c r="Y764">
        <v>1</v>
      </c>
      <c r="Z764">
        <v>10</v>
      </c>
    </row>
    <row r="765" spans="1:26" x14ac:dyDescent="0.3">
      <c r="A765">
        <v>50</v>
      </c>
      <c r="B765">
        <v>145</v>
      </c>
      <c r="C765" t="s">
        <v>26</v>
      </c>
      <c r="D765">
        <v>6.0362</v>
      </c>
      <c r="E765">
        <v>16.57</v>
      </c>
      <c r="F765">
        <v>12.97</v>
      </c>
      <c r="G765">
        <v>64.849999999999994</v>
      </c>
      <c r="H765">
        <v>0.77</v>
      </c>
      <c r="I765">
        <v>12</v>
      </c>
      <c r="J765">
        <v>311.32</v>
      </c>
      <c r="K765">
        <v>61.2</v>
      </c>
      <c r="L765">
        <v>13.5</v>
      </c>
      <c r="M765">
        <v>10</v>
      </c>
      <c r="N765">
        <v>91.62</v>
      </c>
      <c r="O765">
        <v>38630.550000000003</v>
      </c>
      <c r="P765">
        <v>201.59</v>
      </c>
      <c r="Q765">
        <v>988.15</v>
      </c>
      <c r="R765">
        <v>44.41</v>
      </c>
      <c r="S765">
        <v>35.43</v>
      </c>
      <c r="T765">
        <v>3457.76</v>
      </c>
      <c r="U765">
        <v>0.8</v>
      </c>
      <c r="V765">
        <v>0.88</v>
      </c>
      <c r="W765">
        <v>2.99</v>
      </c>
      <c r="X765">
        <v>0.22</v>
      </c>
      <c r="Y765">
        <v>1</v>
      </c>
      <c r="Z765">
        <v>10</v>
      </c>
    </row>
    <row r="766" spans="1:26" x14ac:dyDescent="0.3">
      <c r="A766">
        <v>51</v>
      </c>
      <c r="B766">
        <v>145</v>
      </c>
      <c r="C766" t="s">
        <v>26</v>
      </c>
      <c r="D766">
        <v>6.0362999999999998</v>
      </c>
      <c r="E766">
        <v>16.57</v>
      </c>
      <c r="F766">
        <v>12.97</v>
      </c>
      <c r="G766">
        <v>64.849999999999994</v>
      </c>
      <c r="H766">
        <v>0.79</v>
      </c>
      <c r="I766">
        <v>12</v>
      </c>
      <c r="J766">
        <v>311.87</v>
      </c>
      <c r="K766">
        <v>61.2</v>
      </c>
      <c r="L766">
        <v>13.75</v>
      </c>
      <c r="M766">
        <v>10</v>
      </c>
      <c r="N766">
        <v>91.92</v>
      </c>
      <c r="O766">
        <v>38698.21</v>
      </c>
      <c r="P766">
        <v>201.34</v>
      </c>
      <c r="Q766">
        <v>988.11</v>
      </c>
      <c r="R766">
        <v>44.27</v>
      </c>
      <c r="S766">
        <v>35.43</v>
      </c>
      <c r="T766">
        <v>3385.06</v>
      </c>
      <c r="U766">
        <v>0.8</v>
      </c>
      <c r="V766">
        <v>0.88</v>
      </c>
      <c r="W766">
        <v>2.99</v>
      </c>
      <c r="X766">
        <v>0.22</v>
      </c>
      <c r="Y766">
        <v>1</v>
      </c>
      <c r="Z766">
        <v>10</v>
      </c>
    </row>
    <row r="767" spans="1:26" x14ac:dyDescent="0.3">
      <c r="A767">
        <v>52</v>
      </c>
      <c r="B767">
        <v>145</v>
      </c>
      <c r="C767" t="s">
        <v>26</v>
      </c>
      <c r="D767">
        <v>6.0377999999999998</v>
      </c>
      <c r="E767">
        <v>16.559999999999999</v>
      </c>
      <c r="F767">
        <v>12.97</v>
      </c>
      <c r="G767">
        <v>64.83</v>
      </c>
      <c r="H767">
        <v>0.8</v>
      </c>
      <c r="I767">
        <v>12</v>
      </c>
      <c r="J767">
        <v>312.42</v>
      </c>
      <c r="K767">
        <v>61.2</v>
      </c>
      <c r="L767">
        <v>14</v>
      </c>
      <c r="M767">
        <v>10</v>
      </c>
      <c r="N767">
        <v>92.22</v>
      </c>
      <c r="O767">
        <v>38765.89</v>
      </c>
      <c r="P767">
        <v>200.02</v>
      </c>
      <c r="Q767">
        <v>988.08</v>
      </c>
      <c r="R767">
        <v>44.4</v>
      </c>
      <c r="S767">
        <v>35.43</v>
      </c>
      <c r="T767">
        <v>3450.5</v>
      </c>
      <c r="U767">
        <v>0.8</v>
      </c>
      <c r="V767">
        <v>0.88</v>
      </c>
      <c r="W767">
        <v>2.98</v>
      </c>
      <c r="X767">
        <v>0.21</v>
      </c>
      <c r="Y767">
        <v>1</v>
      </c>
      <c r="Z767">
        <v>10</v>
      </c>
    </row>
    <row r="768" spans="1:26" x14ac:dyDescent="0.3">
      <c r="A768">
        <v>53</v>
      </c>
      <c r="B768">
        <v>145</v>
      </c>
      <c r="C768" t="s">
        <v>26</v>
      </c>
      <c r="D768">
        <v>6.0643000000000002</v>
      </c>
      <c r="E768">
        <v>16.489999999999998</v>
      </c>
      <c r="F768">
        <v>12.95</v>
      </c>
      <c r="G768">
        <v>70.63</v>
      </c>
      <c r="H768">
        <v>0.81</v>
      </c>
      <c r="I768">
        <v>11</v>
      </c>
      <c r="J768">
        <v>312.97000000000003</v>
      </c>
      <c r="K768">
        <v>61.2</v>
      </c>
      <c r="L768">
        <v>14.25</v>
      </c>
      <c r="M768">
        <v>9</v>
      </c>
      <c r="N768">
        <v>92.52</v>
      </c>
      <c r="O768">
        <v>38833.69</v>
      </c>
      <c r="P768">
        <v>198.94</v>
      </c>
      <c r="Q768">
        <v>988.15</v>
      </c>
      <c r="R768">
        <v>43.89</v>
      </c>
      <c r="S768">
        <v>35.43</v>
      </c>
      <c r="T768">
        <v>3199.85</v>
      </c>
      <c r="U768">
        <v>0.81</v>
      </c>
      <c r="V768">
        <v>0.88</v>
      </c>
      <c r="W768">
        <v>2.98</v>
      </c>
      <c r="X768">
        <v>0.19</v>
      </c>
      <c r="Y768">
        <v>1</v>
      </c>
      <c r="Z768">
        <v>10</v>
      </c>
    </row>
    <row r="769" spans="1:26" x14ac:dyDescent="0.3">
      <c r="A769">
        <v>54</v>
      </c>
      <c r="B769">
        <v>145</v>
      </c>
      <c r="C769" t="s">
        <v>26</v>
      </c>
      <c r="D769">
        <v>6.0587</v>
      </c>
      <c r="E769">
        <v>16.510000000000002</v>
      </c>
      <c r="F769">
        <v>12.96</v>
      </c>
      <c r="G769">
        <v>70.709999999999994</v>
      </c>
      <c r="H769">
        <v>0.82</v>
      </c>
      <c r="I769">
        <v>11</v>
      </c>
      <c r="J769">
        <v>313.52</v>
      </c>
      <c r="K769">
        <v>61.2</v>
      </c>
      <c r="L769">
        <v>14.5</v>
      </c>
      <c r="M769">
        <v>9</v>
      </c>
      <c r="N769">
        <v>92.82</v>
      </c>
      <c r="O769">
        <v>38901.629999999997</v>
      </c>
      <c r="P769">
        <v>199.15</v>
      </c>
      <c r="Q769">
        <v>988.08</v>
      </c>
      <c r="R769">
        <v>44.22</v>
      </c>
      <c r="S769">
        <v>35.43</v>
      </c>
      <c r="T769">
        <v>3364.56</v>
      </c>
      <c r="U769">
        <v>0.8</v>
      </c>
      <c r="V769">
        <v>0.88</v>
      </c>
      <c r="W769">
        <v>2.99</v>
      </c>
      <c r="X769">
        <v>0.21</v>
      </c>
      <c r="Y769">
        <v>1</v>
      </c>
      <c r="Z769">
        <v>10</v>
      </c>
    </row>
    <row r="770" spans="1:26" x14ac:dyDescent="0.3">
      <c r="A770">
        <v>55</v>
      </c>
      <c r="B770">
        <v>145</v>
      </c>
      <c r="C770" t="s">
        <v>26</v>
      </c>
      <c r="D770">
        <v>6.0646000000000004</v>
      </c>
      <c r="E770">
        <v>16.489999999999998</v>
      </c>
      <c r="F770">
        <v>12.95</v>
      </c>
      <c r="G770">
        <v>70.62</v>
      </c>
      <c r="H770">
        <v>0.84</v>
      </c>
      <c r="I770">
        <v>11</v>
      </c>
      <c r="J770">
        <v>314.07</v>
      </c>
      <c r="K770">
        <v>61.2</v>
      </c>
      <c r="L770">
        <v>14.75</v>
      </c>
      <c r="M770">
        <v>9</v>
      </c>
      <c r="N770">
        <v>93.12</v>
      </c>
      <c r="O770">
        <v>38969.71</v>
      </c>
      <c r="P770">
        <v>198.56</v>
      </c>
      <c r="Q770">
        <v>988.08</v>
      </c>
      <c r="R770">
        <v>43.8</v>
      </c>
      <c r="S770">
        <v>35.43</v>
      </c>
      <c r="T770">
        <v>3154.76</v>
      </c>
      <c r="U770">
        <v>0.81</v>
      </c>
      <c r="V770">
        <v>0.88</v>
      </c>
      <c r="W770">
        <v>2.98</v>
      </c>
      <c r="X770">
        <v>0.19</v>
      </c>
      <c r="Y770">
        <v>1</v>
      </c>
      <c r="Z770">
        <v>10</v>
      </c>
    </row>
    <row r="771" spans="1:26" x14ac:dyDescent="0.3">
      <c r="A771">
        <v>56</v>
      </c>
      <c r="B771">
        <v>145</v>
      </c>
      <c r="C771" t="s">
        <v>26</v>
      </c>
      <c r="D771">
        <v>6.0621999999999998</v>
      </c>
      <c r="E771">
        <v>16.5</v>
      </c>
      <c r="F771">
        <v>12.95</v>
      </c>
      <c r="G771">
        <v>70.66</v>
      </c>
      <c r="H771">
        <v>0.85</v>
      </c>
      <c r="I771">
        <v>11</v>
      </c>
      <c r="J771">
        <v>314.62</v>
      </c>
      <c r="K771">
        <v>61.2</v>
      </c>
      <c r="L771">
        <v>15</v>
      </c>
      <c r="M771">
        <v>9</v>
      </c>
      <c r="N771">
        <v>93.43</v>
      </c>
      <c r="O771">
        <v>39037.919999999998</v>
      </c>
      <c r="P771">
        <v>197.95</v>
      </c>
      <c r="Q771">
        <v>988.1</v>
      </c>
      <c r="R771">
        <v>43.97</v>
      </c>
      <c r="S771">
        <v>35.43</v>
      </c>
      <c r="T771">
        <v>3239.7</v>
      </c>
      <c r="U771">
        <v>0.81</v>
      </c>
      <c r="V771">
        <v>0.88</v>
      </c>
      <c r="W771">
        <v>2.98</v>
      </c>
      <c r="X771">
        <v>0.2</v>
      </c>
      <c r="Y771">
        <v>1</v>
      </c>
      <c r="Z771">
        <v>10</v>
      </c>
    </row>
    <row r="772" spans="1:26" x14ac:dyDescent="0.3">
      <c r="A772">
        <v>57</v>
      </c>
      <c r="B772">
        <v>145</v>
      </c>
      <c r="C772" t="s">
        <v>26</v>
      </c>
      <c r="D772">
        <v>6.0644999999999998</v>
      </c>
      <c r="E772">
        <v>16.489999999999998</v>
      </c>
      <c r="F772">
        <v>12.95</v>
      </c>
      <c r="G772">
        <v>70.62</v>
      </c>
      <c r="H772">
        <v>0.86</v>
      </c>
      <c r="I772">
        <v>11</v>
      </c>
      <c r="J772">
        <v>315.18</v>
      </c>
      <c r="K772">
        <v>61.2</v>
      </c>
      <c r="L772">
        <v>15.25</v>
      </c>
      <c r="M772">
        <v>9</v>
      </c>
      <c r="N772">
        <v>93.73</v>
      </c>
      <c r="O772">
        <v>39106.269999999997</v>
      </c>
      <c r="P772">
        <v>196.73</v>
      </c>
      <c r="Q772">
        <v>988.08</v>
      </c>
      <c r="R772">
        <v>43.9</v>
      </c>
      <c r="S772">
        <v>35.43</v>
      </c>
      <c r="T772">
        <v>3205.84</v>
      </c>
      <c r="U772">
        <v>0.81</v>
      </c>
      <c r="V772">
        <v>0.88</v>
      </c>
      <c r="W772">
        <v>2.98</v>
      </c>
      <c r="X772">
        <v>0.19</v>
      </c>
      <c r="Y772">
        <v>1</v>
      </c>
      <c r="Z772">
        <v>10</v>
      </c>
    </row>
    <row r="773" spans="1:26" x14ac:dyDescent="0.3">
      <c r="A773">
        <v>58</v>
      </c>
      <c r="B773">
        <v>145</v>
      </c>
      <c r="C773" t="s">
        <v>26</v>
      </c>
      <c r="D773">
        <v>6.0933999999999999</v>
      </c>
      <c r="E773">
        <v>16.41</v>
      </c>
      <c r="F773">
        <v>12.92</v>
      </c>
      <c r="G773">
        <v>77.540000000000006</v>
      </c>
      <c r="H773">
        <v>0.87</v>
      </c>
      <c r="I773">
        <v>10</v>
      </c>
      <c r="J773">
        <v>315.73</v>
      </c>
      <c r="K773">
        <v>61.2</v>
      </c>
      <c r="L773">
        <v>15.5</v>
      </c>
      <c r="M773">
        <v>8</v>
      </c>
      <c r="N773">
        <v>94.03</v>
      </c>
      <c r="O773">
        <v>39174.75</v>
      </c>
      <c r="P773">
        <v>194.87</v>
      </c>
      <c r="Q773">
        <v>988.08</v>
      </c>
      <c r="R773">
        <v>43.05</v>
      </c>
      <c r="S773">
        <v>35.43</v>
      </c>
      <c r="T773">
        <v>2785.01</v>
      </c>
      <c r="U773">
        <v>0.82</v>
      </c>
      <c r="V773">
        <v>0.88</v>
      </c>
      <c r="W773">
        <v>2.98</v>
      </c>
      <c r="X773">
        <v>0.17</v>
      </c>
      <c r="Y773">
        <v>1</v>
      </c>
      <c r="Z773">
        <v>10</v>
      </c>
    </row>
    <row r="774" spans="1:26" x14ac:dyDescent="0.3">
      <c r="A774">
        <v>59</v>
      </c>
      <c r="B774">
        <v>145</v>
      </c>
      <c r="C774" t="s">
        <v>26</v>
      </c>
      <c r="D774">
        <v>6.0914000000000001</v>
      </c>
      <c r="E774">
        <v>16.420000000000002</v>
      </c>
      <c r="F774">
        <v>12.93</v>
      </c>
      <c r="G774">
        <v>77.569999999999993</v>
      </c>
      <c r="H774">
        <v>0.89</v>
      </c>
      <c r="I774">
        <v>10</v>
      </c>
      <c r="J774">
        <v>316.29000000000002</v>
      </c>
      <c r="K774">
        <v>61.2</v>
      </c>
      <c r="L774">
        <v>15.75</v>
      </c>
      <c r="M774">
        <v>8</v>
      </c>
      <c r="N774">
        <v>94.34</v>
      </c>
      <c r="O774">
        <v>39243.370000000003</v>
      </c>
      <c r="P774">
        <v>194.95</v>
      </c>
      <c r="Q774">
        <v>988.16</v>
      </c>
      <c r="R774">
        <v>43.13</v>
      </c>
      <c r="S774">
        <v>35.43</v>
      </c>
      <c r="T774">
        <v>2823.78</v>
      </c>
      <c r="U774">
        <v>0.82</v>
      </c>
      <c r="V774">
        <v>0.88</v>
      </c>
      <c r="W774">
        <v>2.98</v>
      </c>
      <c r="X774">
        <v>0.17</v>
      </c>
      <c r="Y774">
        <v>1</v>
      </c>
      <c r="Z774">
        <v>10</v>
      </c>
    </row>
    <row r="775" spans="1:26" x14ac:dyDescent="0.3">
      <c r="A775">
        <v>60</v>
      </c>
      <c r="B775">
        <v>145</v>
      </c>
      <c r="C775" t="s">
        <v>26</v>
      </c>
      <c r="D775">
        <v>6.0929000000000002</v>
      </c>
      <c r="E775">
        <v>16.41</v>
      </c>
      <c r="F775">
        <v>12.92</v>
      </c>
      <c r="G775">
        <v>77.55</v>
      </c>
      <c r="H775">
        <v>0.9</v>
      </c>
      <c r="I775">
        <v>10</v>
      </c>
      <c r="J775">
        <v>316.85000000000002</v>
      </c>
      <c r="K775">
        <v>61.2</v>
      </c>
      <c r="L775">
        <v>16</v>
      </c>
      <c r="M775">
        <v>8</v>
      </c>
      <c r="N775">
        <v>94.65</v>
      </c>
      <c r="O775">
        <v>39312.129999999997</v>
      </c>
      <c r="P775">
        <v>193.71</v>
      </c>
      <c r="Q775">
        <v>988.09</v>
      </c>
      <c r="R775">
        <v>43</v>
      </c>
      <c r="S775">
        <v>35.43</v>
      </c>
      <c r="T775">
        <v>2763.4</v>
      </c>
      <c r="U775">
        <v>0.82</v>
      </c>
      <c r="V775">
        <v>0.88</v>
      </c>
      <c r="W775">
        <v>2.98</v>
      </c>
      <c r="X775">
        <v>0.17</v>
      </c>
      <c r="Y775">
        <v>1</v>
      </c>
      <c r="Z775">
        <v>10</v>
      </c>
    </row>
    <row r="776" spans="1:26" x14ac:dyDescent="0.3">
      <c r="A776">
        <v>61</v>
      </c>
      <c r="B776">
        <v>145</v>
      </c>
      <c r="C776" t="s">
        <v>26</v>
      </c>
      <c r="D776">
        <v>6.0900999999999996</v>
      </c>
      <c r="E776">
        <v>16.420000000000002</v>
      </c>
      <c r="F776">
        <v>12.93</v>
      </c>
      <c r="G776">
        <v>77.59</v>
      </c>
      <c r="H776">
        <v>0.91</v>
      </c>
      <c r="I776">
        <v>10</v>
      </c>
      <c r="J776">
        <v>317.41000000000003</v>
      </c>
      <c r="K776">
        <v>61.2</v>
      </c>
      <c r="L776">
        <v>16.25</v>
      </c>
      <c r="M776">
        <v>8</v>
      </c>
      <c r="N776">
        <v>94.96</v>
      </c>
      <c r="O776">
        <v>39381.03</v>
      </c>
      <c r="P776">
        <v>193.3</v>
      </c>
      <c r="Q776">
        <v>988.16</v>
      </c>
      <c r="R776">
        <v>43.28</v>
      </c>
      <c r="S776">
        <v>35.43</v>
      </c>
      <c r="T776">
        <v>2902.19</v>
      </c>
      <c r="U776">
        <v>0.82</v>
      </c>
      <c r="V776">
        <v>0.88</v>
      </c>
      <c r="W776">
        <v>2.98</v>
      </c>
      <c r="X776">
        <v>0.18</v>
      </c>
      <c r="Y776">
        <v>1</v>
      </c>
      <c r="Z776">
        <v>10</v>
      </c>
    </row>
    <row r="777" spans="1:26" x14ac:dyDescent="0.3">
      <c r="A777">
        <v>62</v>
      </c>
      <c r="B777">
        <v>145</v>
      </c>
      <c r="C777" t="s">
        <v>26</v>
      </c>
      <c r="D777">
        <v>6.0896999999999997</v>
      </c>
      <c r="E777">
        <v>16.420000000000002</v>
      </c>
      <c r="F777">
        <v>12.93</v>
      </c>
      <c r="G777">
        <v>77.599999999999994</v>
      </c>
      <c r="H777">
        <v>0.92</v>
      </c>
      <c r="I777">
        <v>10</v>
      </c>
      <c r="J777">
        <v>317.97000000000003</v>
      </c>
      <c r="K777">
        <v>61.2</v>
      </c>
      <c r="L777">
        <v>16.5</v>
      </c>
      <c r="M777">
        <v>8</v>
      </c>
      <c r="N777">
        <v>95.27</v>
      </c>
      <c r="O777">
        <v>39450.07</v>
      </c>
      <c r="P777">
        <v>192.98</v>
      </c>
      <c r="Q777">
        <v>988.11</v>
      </c>
      <c r="R777">
        <v>43.27</v>
      </c>
      <c r="S777">
        <v>35.43</v>
      </c>
      <c r="T777">
        <v>2898.02</v>
      </c>
      <c r="U777">
        <v>0.82</v>
      </c>
      <c r="V777">
        <v>0.88</v>
      </c>
      <c r="W777">
        <v>2.98</v>
      </c>
      <c r="X777">
        <v>0.18</v>
      </c>
      <c r="Y777">
        <v>1</v>
      </c>
      <c r="Z777">
        <v>10</v>
      </c>
    </row>
    <row r="778" spans="1:26" x14ac:dyDescent="0.3">
      <c r="A778">
        <v>63</v>
      </c>
      <c r="B778">
        <v>145</v>
      </c>
      <c r="C778" t="s">
        <v>26</v>
      </c>
      <c r="D778">
        <v>6.0911</v>
      </c>
      <c r="E778">
        <v>16.420000000000002</v>
      </c>
      <c r="F778">
        <v>12.93</v>
      </c>
      <c r="G778">
        <v>77.58</v>
      </c>
      <c r="H778">
        <v>0.94</v>
      </c>
      <c r="I778">
        <v>10</v>
      </c>
      <c r="J778">
        <v>318.52999999999997</v>
      </c>
      <c r="K778">
        <v>61.2</v>
      </c>
      <c r="L778">
        <v>16.75</v>
      </c>
      <c r="M778">
        <v>8</v>
      </c>
      <c r="N778">
        <v>95.58</v>
      </c>
      <c r="O778">
        <v>39519.26</v>
      </c>
      <c r="P778">
        <v>191.81</v>
      </c>
      <c r="Q778">
        <v>988.11</v>
      </c>
      <c r="R778">
        <v>43.1</v>
      </c>
      <c r="S778">
        <v>35.43</v>
      </c>
      <c r="T778">
        <v>2813.23</v>
      </c>
      <c r="U778">
        <v>0.82</v>
      </c>
      <c r="V778">
        <v>0.88</v>
      </c>
      <c r="W778">
        <v>2.98</v>
      </c>
      <c r="X778">
        <v>0.18</v>
      </c>
      <c r="Y778">
        <v>1</v>
      </c>
      <c r="Z778">
        <v>10</v>
      </c>
    </row>
    <row r="779" spans="1:26" x14ac:dyDescent="0.3">
      <c r="A779">
        <v>64</v>
      </c>
      <c r="B779">
        <v>145</v>
      </c>
      <c r="C779" t="s">
        <v>26</v>
      </c>
      <c r="D779">
        <v>6.1215999999999999</v>
      </c>
      <c r="E779">
        <v>16.34</v>
      </c>
      <c r="F779">
        <v>12.9</v>
      </c>
      <c r="G779">
        <v>86.01</v>
      </c>
      <c r="H779">
        <v>0.95</v>
      </c>
      <c r="I779">
        <v>9</v>
      </c>
      <c r="J779">
        <v>319.08999999999997</v>
      </c>
      <c r="K779">
        <v>61.2</v>
      </c>
      <c r="L779">
        <v>17</v>
      </c>
      <c r="M779">
        <v>7</v>
      </c>
      <c r="N779">
        <v>95.89</v>
      </c>
      <c r="O779">
        <v>39588.58</v>
      </c>
      <c r="P779">
        <v>189.8</v>
      </c>
      <c r="Q779">
        <v>988.08</v>
      </c>
      <c r="R779">
        <v>42.42</v>
      </c>
      <c r="S779">
        <v>35.43</v>
      </c>
      <c r="T779">
        <v>2475</v>
      </c>
      <c r="U779">
        <v>0.84</v>
      </c>
      <c r="V779">
        <v>0.88</v>
      </c>
      <c r="W779">
        <v>2.98</v>
      </c>
      <c r="X779">
        <v>0.15</v>
      </c>
      <c r="Y779">
        <v>1</v>
      </c>
      <c r="Z779">
        <v>10</v>
      </c>
    </row>
    <row r="780" spans="1:26" x14ac:dyDescent="0.3">
      <c r="A780">
        <v>65</v>
      </c>
      <c r="B780">
        <v>145</v>
      </c>
      <c r="C780" t="s">
        <v>26</v>
      </c>
      <c r="D780">
        <v>6.1166999999999998</v>
      </c>
      <c r="E780">
        <v>16.350000000000001</v>
      </c>
      <c r="F780">
        <v>12.91</v>
      </c>
      <c r="G780">
        <v>86.1</v>
      </c>
      <c r="H780">
        <v>0.96</v>
      </c>
      <c r="I780">
        <v>9</v>
      </c>
      <c r="J780">
        <v>319.64999999999998</v>
      </c>
      <c r="K780">
        <v>61.2</v>
      </c>
      <c r="L780">
        <v>17.25</v>
      </c>
      <c r="M780">
        <v>7</v>
      </c>
      <c r="N780">
        <v>96.2</v>
      </c>
      <c r="O780">
        <v>39658.050000000003</v>
      </c>
      <c r="P780">
        <v>190.25</v>
      </c>
      <c r="Q780">
        <v>988.08</v>
      </c>
      <c r="R780">
        <v>42.79</v>
      </c>
      <c r="S780">
        <v>35.43</v>
      </c>
      <c r="T780">
        <v>2659.02</v>
      </c>
      <c r="U780">
        <v>0.83</v>
      </c>
      <c r="V780">
        <v>0.88</v>
      </c>
      <c r="W780">
        <v>2.98</v>
      </c>
      <c r="X780">
        <v>0.16</v>
      </c>
      <c r="Y780">
        <v>1</v>
      </c>
      <c r="Z780">
        <v>10</v>
      </c>
    </row>
    <row r="781" spans="1:26" x14ac:dyDescent="0.3">
      <c r="A781">
        <v>66</v>
      </c>
      <c r="B781">
        <v>145</v>
      </c>
      <c r="C781" t="s">
        <v>26</v>
      </c>
      <c r="D781">
        <v>6.1161000000000003</v>
      </c>
      <c r="E781">
        <v>16.350000000000001</v>
      </c>
      <c r="F781">
        <v>12.92</v>
      </c>
      <c r="G781">
        <v>86.11</v>
      </c>
      <c r="H781">
        <v>0.97</v>
      </c>
      <c r="I781">
        <v>9</v>
      </c>
      <c r="J781">
        <v>320.22000000000003</v>
      </c>
      <c r="K781">
        <v>61.2</v>
      </c>
      <c r="L781">
        <v>17.5</v>
      </c>
      <c r="M781">
        <v>7</v>
      </c>
      <c r="N781">
        <v>96.52</v>
      </c>
      <c r="O781">
        <v>39727.660000000003</v>
      </c>
      <c r="P781">
        <v>190.36</v>
      </c>
      <c r="Q781">
        <v>988.08</v>
      </c>
      <c r="R781">
        <v>42.95</v>
      </c>
      <c r="S781">
        <v>35.43</v>
      </c>
      <c r="T781">
        <v>2743.58</v>
      </c>
      <c r="U781">
        <v>0.82</v>
      </c>
      <c r="V781">
        <v>0.88</v>
      </c>
      <c r="W781">
        <v>2.98</v>
      </c>
      <c r="X781">
        <v>0.16</v>
      </c>
      <c r="Y781">
        <v>1</v>
      </c>
      <c r="Z781">
        <v>10</v>
      </c>
    </row>
    <row r="782" spans="1:26" x14ac:dyDescent="0.3">
      <c r="A782">
        <v>67</v>
      </c>
      <c r="B782">
        <v>145</v>
      </c>
      <c r="C782" t="s">
        <v>26</v>
      </c>
      <c r="D782">
        <v>6.1151</v>
      </c>
      <c r="E782">
        <v>16.350000000000001</v>
      </c>
      <c r="F782">
        <v>12.92</v>
      </c>
      <c r="G782">
        <v>86.13</v>
      </c>
      <c r="H782">
        <v>0.99</v>
      </c>
      <c r="I782">
        <v>9</v>
      </c>
      <c r="J782">
        <v>320.77999999999997</v>
      </c>
      <c r="K782">
        <v>61.2</v>
      </c>
      <c r="L782">
        <v>17.75</v>
      </c>
      <c r="M782">
        <v>7</v>
      </c>
      <c r="N782">
        <v>96.83</v>
      </c>
      <c r="O782">
        <v>39797.410000000003</v>
      </c>
      <c r="P782">
        <v>190.45</v>
      </c>
      <c r="Q782">
        <v>988.08</v>
      </c>
      <c r="R782">
        <v>42.87</v>
      </c>
      <c r="S782">
        <v>35.43</v>
      </c>
      <c r="T782">
        <v>2699.35</v>
      </c>
      <c r="U782">
        <v>0.83</v>
      </c>
      <c r="V782">
        <v>0.88</v>
      </c>
      <c r="W782">
        <v>2.98</v>
      </c>
      <c r="X782">
        <v>0.17</v>
      </c>
      <c r="Y782">
        <v>1</v>
      </c>
      <c r="Z782">
        <v>10</v>
      </c>
    </row>
    <row r="783" spans="1:26" x14ac:dyDescent="0.3">
      <c r="A783">
        <v>68</v>
      </c>
      <c r="B783">
        <v>145</v>
      </c>
      <c r="C783" t="s">
        <v>26</v>
      </c>
      <c r="D783">
        <v>6.1177999999999999</v>
      </c>
      <c r="E783">
        <v>16.350000000000001</v>
      </c>
      <c r="F783">
        <v>12.91</v>
      </c>
      <c r="G783">
        <v>86.08</v>
      </c>
      <c r="H783">
        <v>1</v>
      </c>
      <c r="I783">
        <v>9</v>
      </c>
      <c r="J783">
        <v>321.35000000000002</v>
      </c>
      <c r="K783">
        <v>61.2</v>
      </c>
      <c r="L783">
        <v>18</v>
      </c>
      <c r="M783">
        <v>7</v>
      </c>
      <c r="N783">
        <v>97.15</v>
      </c>
      <c r="O783">
        <v>39867.32</v>
      </c>
      <c r="P783">
        <v>189.79</v>
      </c>
      <c r="Q783">
        <v>988.09</v>
      </c>
      <c r="R783">
        <v>42.78</v>
      </c>
      <c r="S783">
        <v>35.43</v>
      </c>
      <c r="T783">
        <v>2657.15</v>
      </c>
      <c r="U783">
        <v>0.83</v>
      </c>
      <c r="V783">
        <v>0.88</v>
      </c>
      <c r="W783">
        <v>2.98</v>
      </c>
      <c r="X783">
        <v>0.16</v>
      </c>
      <c r="Y783">
        <v>1</v>
      </c>
      <c r="Z783">
        <v>10</v>
      </c>
    </row>
    <row r="784" spans="1:26" x14ac:dyDescent="0.3">
      <c r="A784">
        <v>69</v>
      </c>
      <c r="B784">
        <v>145</v>
      </c>
      <c r="C784" t="s">
        <v>26</v>
      </c>
      <c r="D784">
        <v>6.1188000000000002</v>
      </c>
      <c r="E784">
        <v>16.34</v>
      </c>
      <c r="F784">
        <v>12.91</v>
      </c>
      <c r="G784">
        <v>86.06</v>
      </c>
      <c r="H784">
        <v>1.01</v>
      </c>
      <c r="I784">
        <v>9</v>
      </c>
      <c r="J784">
        <v>321.92</v>
      </c>
      <c r="K784">
        <v>61.2</v>
      </c>
      <c r="L784">
        <v>18.25</v>
      </c>
      <c r="M784">
        <v>7</v>
      </c>
      <c r="N784">
        <v>97.47</v>
      </c>
      <c r="O784">
        <v>39937.360000000001</v>
      </c>
      <c r="P784">
        <v>188.86</v>
      </c>
      <c r="Q784">
        <v>988.13</v>
      </c>
      <c r="R784">
        <v>42.51</v>
      </c>
      <c r="S784">
        <v>35.43</v>
      </c>
      <c r="T784">
        <v>2519.7600000000002</v>
      </c>
      <c r="U784">
        <v>0.83</v>
      </c>
      <c r="V784">
        <v>0.88</v>
      </c>
      <c r="W784">
        <v>2.98</v>
      </c>
      <c r="X784">
        <v>0.16</v>
      </c>
      <c r="Y784">
        <v>1</v>
      </c>
      <c r="Z784">
        <v>10</v>
      </c>
    </row>
    <row r="785" spans="1:26" x14ac:dyDescent="0.3">
      <c r="A785">
        <v>70</v>
      </c>
      <c r="B785">
        <v>145</v>
      </c>
      <c r="C785" t="s">
        <v>26</v>
      </c>
      <c r="D785">
        <v>6.1188000000000002</v>
      </c>
      <c r="E785">
        <v>16.34</v>
      </c>
      <c r="F785">
        <v>12.91</v>
      </c>
      <c r="G785">
        <v>86.06</v>
      </c>
      <c r="H785">
        <v>1.02</v>
      </c>
      <c r="I785">
        <v>9</v>
      </c>
      <c r="J785">
        <v>322.49</v>
      </c>
      <c r="K785">
        <v>61.2</v>
      </c>
      <c r="L785">
        <v>18.5</v>
      </c>
      <c r="M785">
        <v>6</v>
      </c>
      <c r="N785">
        <v>97.79</v>
      </c>
      <c r="O785">
        <v>40007.56</v>
      </c>
      <c r="P785">
        <v>187.03</v>
      </c>
      <c r="Q785">
        <v>988.11</v>
      </c>
      <c r="R785">
        <v>42.65</v>
      </c>
      <c r="S785">
        <v>35.43</v>
      </c>
      <c r="T785">
        <v>2589.39</v>
      </c>
      <c r="U785">
        <v>0.83</v>
      </c>
      <c r="V785">
        <v>0.88</v>
      </c>
      <c r="W785">
        <v>2.98</v>
      </c>
      <c r="X785">
        <v>0.15</v>
      </c>
      <c r="Y785">
        <v>1</v>
      </c>
      <c r="Z785">
        <v>10</v>
      </c>
    </row>
    <row r="786" spans="1:26" x14ac:dyDescent="0.3">
      <c r="A786">
        <v>71</v>
      </c>
      <c r="B786">
        <v>145</v>
      </c>
      <c r="C786" t="s">
        <v>26</v>
      </c>
      <c r="D786">
        <v>6.1153000000000004</v>
      </c>
      <c r="E786">
        <v>16.350000000000001</v>
      </c>
      <c r="F786">
        <v>12.92</v>
      </c>
      <c r="G786">
        <v>86.12</v>
      </c>
      <c r="H786">
        <v>1.03</v>
      </c>
      <c r="I786">
        <v>9</v>
      </c>
      <c r="J786">
        <v>323.06</v>
      </c>
      <c r="K786">
        <v>61.2</v>
      </c>
      <c r="L786">
        <v>18.75</v>
      </c>
      <c r="M786">
        <v>4</v>
      </c>
      <c r="N786">
        <v>98.11</v>
      </c>
      <c r="O786">
        <v>40077.9</v>
      </c>
      <c r="P786">
        <v>186.64</v>
      </c>
      <c r="Q786">
        <v>988.08</v>
      </c>
      <c r="R786">
        <v>42.76</v>
      </c>
      <c r="S786">
        <v>35.43</v>
      </c>
      <c r="T786">
        <v>2644.8</v>
      </c>
      <c r="U786">
        <v>0.83</v>
      </c>
      <c r="V786">
        <v>0.88</v>
      </c>
      <c r="W786">
        <v>2.98</v>
      </c>
      <c r="X786">
        <v>0.17</v>
      </c>
      <c r="Y786">
        <v>1</v>
      </c>
      <c r="Z786">
        <v>10</v>
      </c>
    </row>
    <row r="787" spans="1:26" x14ac:dyDescent="0.3">
      <c r="A787">
        <v>72</v>
      </c>
      <c r="B787">
        <v>145</v>
      </c>
      <c r="C787" t="s">
        <v>26</v>
      </c>
      <c r="D787">
        <v>6.1144999999999996</v>
      </c>
      <c r="E787">
        <v>16.350000000000001</v>
      </c>
      <c r="F787">
        <v>12.92</v>
      </c>
      <c r="G787">
        <v>86.14</v>
      </c>
      <c r="H787">
        <v>1.05</v>
      </c>
      <c r="I787">
        <v>9</v>
      </c>
      <c r="J787">
        <v>323.63</v>
      </c>
      <c r="K787">
        <v>61.2</v>
      </c>
      <c r="L787">
        <v>19</v>
      </c>
      <c r="M787">
        <v>4</v>
      </c>
      <c r="N787">
        <v>98.43</v>
      </c>
      <c r="O787">
        <v>40148.519999999997</v>
      </c>
      <c r="P787">
        <v>186.18</v>
      </c>
      <c r="Q787">
        <v>988.11</v>
      </c>
      <c r="R787">
        <v>42.81</v>
      </c>
      <c r="S787">
        <v>35.43</v>
      </c>
      <c r="T787">
        <v>2669.87</v>
      </c>
      <c r="U787">
        <v>0.83</v>
      </c>
      <c r="V787">
        <v>0.88</v>
      </c>
      <c r="W787">
        <v>2.98</v>
      </c>
      <c r="X787">
        <v>0.17</v>
      </c>
      <c r="Y787">
        <v>1</v>
      </c>
      <c r="Z787">
        <v>10</v>
      </c>
    </row>
    <row r="788" spans="1:26" x14ac:dyDescent="0.3">
      <c r="A788">
        <v>73</v>
      </c>
      <c r="B788">
        <v>145</v>
      </c>
      <c r="C788" t="s">
        <v>26</v>
      </c>
      <c r="D788">
        <v>6.1425000000000001</v>
      </c>
      <c r="E788">
        <v>16.28</v>
      </c>
      <c r="F788">
        <v>12.9</v>
      </c>
      <c r="G788">
        <v>96.75</v>
      </c>
      <c r="H788">
        <v>1.06</v>
      </c>
      <c r="I788">
        <v>8</v>
      </c>
      <c r="J788">
        <v>324.2</v>
      </c>
      <c r="K788">
        <v>61.2</v>
      </c>
      <c r="L788">
        <v>19.25</v>
      </c>
      <c r="M788">
        <v>3</v>
      </c>
      <c r="N788">
        <v>98.75</v>
      </c>
      <c r="O788">
        <v>40219.17</v>
      </c>
      <c r="P788">
        <v>185.01</v>
      </c>
      <c r="Q788">
        <v>988.08</v>
      </c>
      <c r="R788">
        <v>42.12</v>
      </c>
      <c r="S788">
        <v>35.43</v>
      </c>
      <c r="T788">
        <v>2332.04</v>
      </c>
      <c r="U788">
        <v>0.84</v>
      </c>
      <c r="V788">
        <v>0.88</v>
      </c>
      <c r="W788">
        <v>2.98</v>
      </c>
      <c r="X788">
        <v>0.15</v>
      </c>
      <c r="Y788">
        <v>1</v>
      </c>
      <c r="Z788">
        <v>10</v>
      </c>
    </row>
    <row r="789" spans="1:26" x14ac:dyDescent="0.3">
      <c r="A789">
        <v>74</v>
      </c>
      <c r="B789">
        <v>145</v>
      </c>
      <c r="C789" t="s">
        <v>26</v>
      </c>
      <c r="D789">
        <v>6.1441999999999997</v>
      </c>
      <c r="E789">
        <v>16.28</v>
      </c>
      <c r="F789">
        <v>12.9</v>
      </c>
      <c r="G789">
        <v>96.71</v>
      </c>
      <c r="H789">
        <v>1.07</v>
      </c>
      <c r="I789">
        <v>8</v>
      </c>
      <c r="J789">
        <v>324.77999999999997</v>
      </c>
      <c r="K789">
        <v>61.2</v>
      </c>
      <c r="L789">
        <v>19.5</v>
      </c>
      <c r="M789">
        <v>2</v>
      </c>
      <c r="N789">
        <v>99.08</v>
      </c>
      <c r="O789">
        <v>40289.97</v>
      </c>
      <c r="P789">
        <v>185.23</v>
      </c>
      <c r="Q789">
        <v>988.13</v>
      </c>
      <c r="R789">
        <v>42.1</v>
      </c>
      <c r="S789">
        <v>35.43</v>
      </c>
      <c r="T789">
        <v>2320.4899999999998</v>
      </c>
      <c r="U789">
        <v>0.84</v>
      </c>
      <c r="V789">
        <v>0.88</v>
      </c>
      <c r="W789">
        <v>2.98</v>
      </c>
      <c r="X789">
        <v>0.14000000000000001</v>
      </c>
      <c r="Y789">
        <v>1</v>
      </c>
      <c r="Z789">
        <v>10</v>
      </c>
    </row>
    <row r="790" spans="1:26" x14ac:dyDescent="0.3">
      <c r="A790">
        <v>75</v>
      </c>
      <c r="B790">
        <v>145</v>
      </c>
      <c r="C790" t="s">
        <v>26</v>
      </c>
      <c r="D790">
        <v>6.1425000000000001</v>
      </c>
      <c r="E790">
        <v>16.28</v>
      </c>
      <c r="F790">
        <v>12.9</v>
      </c>
      <c r="G790">
        <v>96.75</v>
      </c>
      <c r="H790">
        <v>1.08</v>
      </c>
      <c r="I790">
        <v>8</v>
      </c>
      <c r="J790">
        <v>325.35000000000002</v>
      </c>
      <c r="K790">
        <v>61.2</v>
      </c>
      <c r="L790">
        <v>19.75</v>
      </c>
      <c r="M790">
        <v>1</v>
      </c>
      <c r="N790">
        <v>99.4</v>
      </c>
      <c r="O790">
        <v>40360.92</v>
      </c>
      <c r="P790">
        <v>185.36</v>
      </c>
      <c r="Q790">
        <v>988.14</v>
      </c>
      <c r="R790">
        <v>42.17</v>
      </c>
      <c r="S790">
        <v>35.43</v>
      </c>
      <c r="T790">
        <v>2356.2600000000002</v>
      </c>
      <c r="U790">
        <v>0.84</v>
      </c>
      <c r="V790">
        <v>0.88</v>
      </c>
      <c r="W790">
        <v>2.98</v>
      </c>
      <c r="X790">
        <v>0.15</v>
      </c>
      <c r="Y790">
        <v>1</v>
      </c>
      <c r="Z790">
        <v>10</v>
      </c>
    </row>
    <row r="791" spans="1:26" x14ac:dyDescent="0.3">
      <c r="A791">
        <v>76</v>
      </c>
      <c r="B791">
        <v>145</v>
      </c>
      <c r="C791" t="s">
        <v>26</v>
      </c>
      <c r="D791">
        <v>6.1429</v>
      </c>
      <c r="E791">
        <v>16.28</v>
      </c>
      <c r="F791">
        <v>12.9</v>
      </c>
      <c r="G791">
        <v>96.74</v>
      </c>
      <c r="H791">
        <v>1.0900000000000001</v>
      </c>
      <c r="I791">
        <v>8</v>
      </c>
      <c r="J791">
        <v>325.93</v>
      </c>
      <c r="K791">
        <v>61.2</v>
      </c>
      <c r="L791">
        <v>20</v>
      </c>
      <c r="M791">
        <v>1</v>
      </c>
      <c r="N791">
        <v>99.73</v>
      </c>
      <c r="O791">
        <v>40432.03</v>
      </c>
      <c r="P791">
        <v>185.66</v>
      </c>
      <c r="Q791">
        <v>988.08</v>
      </c>
      <c r="R791">
        <v>42.2</v>
      </c>
      <c r="S791">
        <v>35.43</v>
      </c>
      <c r="T791">
        <v>2371.5500000000002</v>
      </c>
      <c r="U791">
        <v>0.84</v>
      </c>
      <c r="V791">
        <v>0.88</v>
      </c>
      <c r="W791">
        <v>2.98</v>
      </c>
      <c r="X791">
        <v>0.15</v>
      </c>
      <c r="Y791">
        <v>1</v>
      </c>
      <c r="Z791">
        <v>10</v>
      </c>
    </row>
    <row r="792" spans="1:26" x14ac:dyDescent="0.3">
      <c r="A792">
        <v>77</v>
      </c>
      <c r="B792">
        <v>145</v>
      </c>
      <c r="C792" t="s">
        <v>26</v>
      </c>
      <c r="D792">
        <v>6.1436999999999999</v>
      </c>
      <c r="E792">
        <v>16.28</v>
      </c>
      <c r="F792">
        <v>12.9</v>
      </c>
      <c r="G792">
        <v>96.72</v>
      </c>
      <c r="H792">
        <v>1.1100000000000001</v>
      </c>
      <c r="I792">
        <v>8</v>
      </c>
      <c r="J792">
        <v>326.51</v>
      </c>
      <c r="K792">
        <v>61.2</v>
      </c>
      <c r="L792">
        <v>20.25</v>
      </c>
      <c r="M792">
        <v>0</v>
      </c>
      <c r="N792">
        <v>100.06</v>
      </c>
      <c r="O792">
        <v>40503.29</v>
      </c>
      <c r="P792">
        <v>185.95</v>
      </c>
      <c r="Q792">
        <v>988.08</v>
      </c>
      <c r="R792">
        <v>42.08</v>
      </c>
      <c r="S792">
        <v>35.43</v>
      </c>
      <c r="T792">
        <v>2313.0100000000002</v>
      </c>
      <c r="U792">
        <v>0.84</v>
      </c>
      <c r="V792">
        <v>0.88</v>
      </c>
      <c r="W792">
        <v>2.98</v>
      </c>
      <c r="X792">
        <v>0.14000000000000001</v>
      </c>
      <c r="Y792">
        <v>1</v>
      </c>
      <c r="Z792">
        <v>10</v>
      </c>
    </row>
    <row r="793" spans="1:26" x14ac:dyDescent="0.3">
      <c r="A793">
        <v>0</v>
      </c>
      <c r="B793">
        <v>65</v>
      </c>
      <c r="C793" t="s">
        <v>26</v>
      </c>
      <c r="D793">
        <v>4.8872999999999998</v>
      </c>
      <c r="E793">
        <v>20.46</v>
      </c>
      <c r="F793">
        <v>15.1</v>
      </c>
      <c r="G793">
        <v>7.74</v>
      </c>
      <c r="H793">
        <v>0.13</v>
      </c>
      <c r="I793">
        <v>117</v>
      </c>
      <c r="J793">
        <v>133.21</v>
      </c>
      <c r="K793">
        <v>46.47</v>
      </c>
      <c r="L793">
        <v>1</v>
      </c>
      <c r="M793">
        <v>115</v>
      </c>
      <c r="N793">
        <v>20.75</v>
      </c>
      <c r="O793">
        <v>16663.419999999998</v>
      </c>
      <c r="P793">
        <v>161.69999999999999</v>
      </c>
      <c r="Q793">
        <v>988.76</v>
      </c>
      <c r="R793">
        <v>110.65</v>
      </c>
      <c r="S793">
        <v>35.43</v>
      </c>
      <c r="T793">
        <v>36049.19</v>
      </c>
      <c r="U793">
        <v>0.32</v>
      </c>
      <c r="V793">
        <v>0.76</v>
      </c>
      <c r="W793">
        <v>3.15</v>
      </c>
      <c r="X793">
        <v>2.34</v>
      </c>
      <c r="Y793">
        <v>1</v>
      </c>
      <c r="Z793">
        <v>10</v>
      </c>
    </row>
    <row r="794" spans="1:26" x14ac:dyDescent="0.3">
      <c r="A794">
        <v>1</v>
      </c>
      <c r="B794">
        <v>65</v>
      </c>
      <c r="C794" t="s">
        <v>26</v>
      </c>
      <c r="D794">
        <v>5.2039999999999997</v>
      </c>
      <c r="E794">
        <v>19.22</v>
      </c>
      <c r="F794">
        <v>14.59</v>
      </c>
      <c r="G794">
        <v>9.7200000000000006</v>
      </c>
      <c r="H794">
        <v>0.17</v>
      </c>
      <c r="I794">
        <v>90</v>
      </c>
      <c r="J794">
        <v>133.55000000000001</v>
      </c>
      <c r="K794">
        <v>46.47</v>
      </c>
      <c r="L794">
        <v>1.25</v>
      </c>
      <c r="M794">
        <v>88</v>
      </c>
      <c r="N794">
        <v>20.83</v>
      </c>
      <c r="O794">
        <v>16704.7</v>
      </c>
      <c r="P794">
        <v>154.77000000000001</v>
      </c>
      <c r="Q794">
        <v>988.37</v>
      </c>
      <c r="R794">
        <v>94.07</v>
      </c>
      <c r="S794">
        <v>35.43</v>
      </c>
      <c r="T794">
        <v>27895.24</v>
      </c>
      <c r="U794">
        <v>0.38</v>
      </c>
      <c r="V794">
        <v>0.78</v>
      </c>
      <c r="W794">
        <v>3.13</v>
      </c>
      <c r="X794">
        <v>1.83</v>
      </c>
      <c r="Y794">
        <v>1</v>
      </c>
      <c r="Z794">
        <v>10</v>
      </c>
    </row>
    <row r="795" spans="1:26" x14ac:dyDescent="0.3">
      <c r="A795">
        <v>2</v>
      </c>
      <c r="B795">
        <v>65</v>
      </c>
      <c r="C795" t="s">
        <v>26</v>
      </c>
      <c r="D795">
        <v>5.4423000000000004</v>
      </c>
      <c r="E795">
        <v>18.37</v>
      </c>
      <c r="F795">
        <v>14.21</v>
      </c>
      <c r="G795">
        <v>11.68</v>
      </c>
      <c r="H795">
        <v>0.2</v>
      </c>
      <c r="I795">
        <v>73</v>
      </c>
      <c r="J795">
        <v>133.88</v>
      </c>
      <c r="K795">
        <v>46.47</v>
      </c>
      <c r="L795">
        <v>1.5</v>
      </c>
      <c r="M795">
        <v>71</v>
      </c>
      <c r="N795">
        <v>20.91</v>
      </c>
      <c r="O795">
        <v>16746.009999999998</v>
      </c>
      <c r="P795">
        <v>149.16999999999999</v>
      </c>
      <c r="Q795">
        <v>988.17</v>
      </c>
      <c r="R795">
        <v>83.1</v>
      </c>
      <c r="S795">
        <v>35.43</v>
      </c>
      <c r="T795">
        <v>22493.919999999998</v>
      </c>
      <c r="U795">
        <v>0.43</v>
      </c>
      <c r="V795">
        <v>0.8</v>
      </c>
      <c r="W795">
        <v>3.08</v>
      </c>
      <c r="X795">
        <v>1.45</v>
      </c>
      <c r="Y795">
        <v>1</v>
      </c>
      <c r="Z795">
        <v>10</v>
      </c>
    </row>
    <row r="796" spans="1:26" x14ac:dyDescent="0.3">
      <c r="A796">
        <v>3</v>
      </c>
      <c r="B796">
        <v>65</v>
      </c>
      <c r="C796" t="s">
        <v>26</v>
      </c>
      <c r="D796">
        <v>5.6161000000000003</v>
      </c>
      <c r="E796">
        <v>17.809999999999999</v>
      </c>
      <c r="F796">
        <v>13.96</v>
      </c>
      <c r="G796">
        <v>13.74</v>
      </c>
      <c r="H796">
        <v>0.23</v>
      </c>
      <c r="I796">
        <v>61</v>
      </c>
      <c r="J796">
        <v>134.22</v>
      </c>
      <c r="K796">
        <v>46.47</v>
      </c>
      <c r="L796">
        <v>1.75</v>
      </c>
      <c r="M796">
        <v>59</v>
      </c>
      <c r="N796">
        <v>21</v>
      </c>
      <c r="O796">
        <v>16787.349999999999</v>
      </c>
      <c r="P796">
        <v>145.06</v>
      </c>
      <c r="Q796">
        <v>988.13</v>
      </c>
      <c r="R796">
        <v>75.37</v>
      </c>
      <c r="S796">
        <v>35.43</v>
      </c>
      <c r="T796">
        <v>18690.32</v>
      </c>
      <c r="U796">
        <v>0.47</v>
      </c>
      <c r="V796">
        <v>0.82</v>
      </c>
      <c r="W796">
        <v>3.07</v>
      </c>
      <c r="X796">
        <v>1.21</v>
      </c>
      <c r="Y796">
        <v>1</v>
      </c>
      <c r="Z796">
        <v>10</v>
      </c>
    </row>
    <row r="797" spans="1:26" x14ac:dyDescent="0.3">
      <c r="A797">
        <v>4</v>
      </c>
      <c r="B797">
        <v>65</v>
      </c>
      <c r="C797" t="s">
        <v>26</v>
      </c>
      <c r="D797">
        <v>5.7592999999999996</v>
      </c>
      <c r="E797">
        <v>17.36</v>
      </c>
      <c r="F797">
        <v>13.77</v>
      </c>
      <c r="G797">
        <v>15.89</v>
      </c>
      <c r="H797">
        <v>0.26</v>
      </c>
      <c r="I797">
        <v>52</v>
      </c>
      <c r="J797">
        <v>134.55000000000001</v>
      </c>
      <c r="K797">
        <v>46.47</v>
      </c>
      <c r="L797">
        <v>2</v>
      </c>
      <c r="M797">
        <v>50</v>
      </c>
      <c r="N797">
        <v>21.09</v>
      </c>
      <c r="O797">
        <v>16828.84</v>
      </c>
      <c r="P797">
        <v>141.47999999999999</v>
      </c>
      <c r="Q797">
        <v>988.28</v>
      </c>
      <c r="R797">
        <v>69.099999999999994</v>
      </c>
      <c r="S797">
        <v>35.43</v>
      </c>
      <c r="T797">
        <v>15600.33</v>
      </c>
      <c r="U797">
        <v>0.51</v>
      </c>
      <c r="V797">
        <v>0.83</v>
      </c>
      <c r="W797">
        <v>3.05</v>
      </c>
      <c r="X797">
        <v>1.01</v>
      </c>
      <c r="Y797">
        <v>1</v>
      </c>
      <c r="Z797">
        <v>10</v>
      </c>
    </row>
    <row r="798" spans="1:26" x14ac:dyDescent="0.3">
      <c r="A798">
        <v>5</v>
      </c>
      <c r="B798">
        <v>65</v>
      </c>
      <c r="C798" t="s">
        <v>26</v>
      </c>
      <c r="D798">
        <v>5.8487</v>
      </c>
      <c r="E798">
        <v>17.100000000000001</v>
      </c>
      <c r="F798">
        <v>13.67</v>
      </c>
      <c r="G798">
        <v>17.82</v>
      </c>
      <c r="H798">
        <v>0.28999999999999998</v>
      </c>
      <c r="I798">
        <v>46</v>
      </c>
      <c r="J798">
        <v>134.88999999999999</v>
      </c>
      <c r="K798">
        <v>46.47</v>
      </c>
      <c r="L798">
        <v>2.25</v>
      </c>
      <c r="M798">
        <v>44</v>
      </c>
      <c r="N798">
        <v>21.17</v>
      </c>
      <c r="O798">
        <v>16870.25</v>
      </c>
      <c r="P798">
        <v>138.84</v>
      </c>
      <c r="Q798">
        <v>988.16</v>
      </c>
      <c r="R798">
        <v>66.06</v>
      </c>
      <c r="S798">
        <v>35.43</v>
      </c>
      <c r="T798">
        <v>14111.59</v>
      </c>
      <c r="U798">
        <v>0.54</v>
      </c>
      <c r="V798">
        <v>0.83</v>
      </c>
      <c r="W798">
        <v>3.04</v>
      </c>
      <c r="X798">
        <v>0.91</v>
      </c>
      <c r="Y798">
        <v>1</v>
      </c>
      <c r="Z798">
        <v>10</v>
      </c>
    </row>
    <row r="799" spans="1:26" x14ac:dyDescent="0.3">
      <c r="A799">
        <v>6</v>
      </c>
      <c r="B799">
        <v>65</v>
      </c>
      <c r="C799" t="s">
        <v>26</v>
      </c>
      <c r="D799">
        <v>5.952</v>
      </c>
      <c r="E799">
        <v>16.8</v>
      </c>
      <c r="F799">
        <v>13.53</v>
      </c>
      <c r="G799">
        <v>20.3</v>
      </c>
      <c r="H799">
        <v>0.33</v>
      </c>
      <c r="I799">
        <v>40</v>
      </c>
      <c r="J799">
        <v>135.22</v>
      </c>
      <c r="K799">
        <v>46.47</v>
      </c>
      <c r="L799">
        <v>2.5</v>
      </c>
      <c r="M799">
        <v>38</v>
      </c>
      <c r="N799">
        <v>21.26</v>
      </c>
      <c r="O799">
        <v>16911.68</v>
      </c>
      <c r="P799">
        <v>135.80000000000001</v>
      </c>
      <c r="Q799">
        <v>988.31</v>
      </c>
      <c r="R799">
        <v>61.66</v>
      </c>
      <c r="S799">
        <v>35.43</v>
      </c>
      <c r="T799">
        <v>11940.47</v>
      </c>
      <c r="U799">
        <v>0.56999999999999995</v>
      </c>
      <c r="V799">
        <v>0.84</v>
      </c>
      <c r="W799">
        <v>3.04</v>
      </c>
      <c r="X799">
        <v>0.78</v>
      </c>
      <c r="Y799">
        <v>1</v>
      </c>
      <c r="Z799">
        <v>10</v>
      </c>
    </row>
    <row r="800" spans="1:26" x14ac:dyDescent="0.3">
      <c r="A800">
        <v>7</v>
      </c>
      <c r="B800">
        <v>65</v>
      </c>
      <c r="C800" t="s">
        <v>26</v>
      </c>
      <c r="D800">
        <v>6.0185000000000004</v>
      </c>
      <c r="E800">
        <v>16.62</v>
      </c>
      <c r="F800">
        <v>13.46</v>
      </c>
      <c r="G800">
        <v>22.43</v>
      </c>
      <c r="H800">
        <v>0.36</v>
      </c>
      <c r="I800">
        <v>36</v>
      </c>
      <c r="J800">
        <v>135.56</v>
      </c>
      <c r="K800">
        <v>46.47</v>
      </c>
      <c r="L800">
        <v>2.75</v>
      </c>
      <c r="M800">
        <v>34</v>
      </c>
      <c r="N800">
        <v>21.34</v>
      </c>
      <c r="O800">
        <v>16953.14</v>
      </c>
      <c r="P800">
        <v>133.47</v>
      </c>
      <c r="Q800">
        <v>988.11</v>
      </c>
      <c r="R800">
        <v>59.2</v>
      </c>
      <c r="S800">
        <v>35.43</v>
      </c>
      <c r="T800">
        <v>10731.37</v>
      </c>
      <c r="U800">
        <v>0.6</v>
      </c>
      <c r="V800">
        <v>0.85</v>
      </c>
      <c r="W800">
        <v>3.03</v>
      </c>
      <c r="X800">
        <v>0.7</v>
      </c>
      <c r="Y800">
        <v>1</v>
      </c>
      <c r="Z800">
        <v>10</v>
      </c>
    </row>
    <row r="801" spans="1:26" x14ac:dyDescent="0.3">
      <c r="A801">
        <v>8</v>
      </c>
      <c r="B801">
        <v>65</v>
      </c>
      <c r="C801" t="s">
        <v>26</v>
      </c>
      <c r="D801">
        <v>6.0726000000000004</v>
      </c>
      <c r="E801">
        <v>16.47</v>
      </c>
      <c r="F801">
        <v>13.39</v>
      </c>
      <c r="G801">
        <v>24.34</v>
      </c>
      <c r="H801">
        <v>0.39</v>
      </c>
      <c r="I801">
        <v>33</v>
      </c>
      <c r="J801">
        <v>135.9</v>
      </c>
      <c r="K801">
        <v>46.47</v>
      </c>
      <c r="L801">
        <v>3</v>
      </c>
      <c r="M801">
        <v>31</v>
      </c>
      <c r="N801">
        <v>21.43</v>
      </c>
      <c r="O801">
        <v>16994.64</v>
      </c>
      <c r="P801">
        <v>131.05000000000001</v>
      </c>
      <c r="Q801">
        <v>988.19</v>
      </c>
      <c r="R801">
        <v>57.54</v>
      </c>
      <c r="S801">
        <v>35.43</v>
      </c>
      <c r="T801">
        <v>9918.49</v>
      </c>
      <c r="U801">
        <v>0.62</v>
      </c>
      <c r="V801">
        <v>0.85</v>
      </c>
      <c r="W801">
        <v>3.02</v>
      </c>
      <c r="X801">
        <v>0.63</v>
      </c>
      <c r="Y801">
        <v>1</v>
      </c>
      <c r="Z801">
        <v>10</v>
      </c>
    </row>
    <row r="802" spans="1:26" x14ac:dyDescent="0.3">
      <c r="A802">
        <v>9</v>
      </c>
      <c r="B802">
        <v>65</v>
      </c>
      <c r="C802" t="s">
        <v>26</v>
      </c>
      <c r="D802">
        <v>6.1272000000000002</v>
      </c>
      <c r="E802">
        <v>16.32</v>
      </c>
      <c r="F802">
        <v>13.32</v>
      </c>
      <c r="G802">
        <v>26.65</v>
      </c>
      <c r="H802">
        <v>0.42</v>
      </c>
      <c r="I802">
        <v>30</v>
      </c>
      <c r="J802">
        <v>136.22999999999999</v>
      </c>
      <c r="K802">
        <v>46.47</v>
      </c>
      <c r="L802">
        <v>3.25</v>
      </c>
      <c r="M802">
        <v>28</v>
      </c>
      <c r="N802">
        <v>21.52</v>
      </c>
      <c r="O802">
        <v>17036.16</v>
      </c>
      <c r="P802">
        <v>128.97999999999999</v>
      </c>
      <c r="Q802">
        <v>988.15</v>
      </c>
      <c r="R802">
        <v>55.47</v>
      </c>
      <c r="S802">
        <v>35.43</v>
      </c>
      <c r="T802">
        <v>8896.2900000000009</v>
      </c>
      <c r="U802">
        <v>0.64</v>
      </c>
      <c r="V802">
        <v>0.86</v>
      </c>
      <c r="W802">
        <v>3.01</v>
      </c>
      <c r="X802">
        <v>0.56999999999999995</v>
      </c>
      <c r="Y802">
        <v>1</v>
      </c>
      <c r="Z802">
        <v>10</v>
      </c>
    </row>
    <row r="803" spans="1:26" x14ac:dyDescent="0.3">
      <c r="A803">
        <v>10</v>
      </c>
      <c r="B803">
        <v>65</v>
      </c>
      <c r="C803" t="s">
        <v>26</v>
      </c>
      <c r="D803">
        <v>6.1794000000000002</v>
      </c>
      <c r="E803">
        <v>16.18</v>
      </c>
      <c r="F803">
        <v>13.27</v>
      </c>
      <c r="G803">
        <v>29.48</v>
      </c>
      <c r="H803">
        <v>0.45</v>
      </c>
      <c r="I803">
        <v>27</v>
      </c>
      <c r="J803">
        <v>136.57</v>
      </c>
      <c r="K803">
        <v>46.47</v>
      </c>
      <c r="L803">
        <v>3.5</v>
      </c>
      <c r="M803">
        <v>25</v>
      </c>
      <c r="N803">
        <v>21.6</v>
      </c>
      <c r="O803">
        <v>17077.72</v>
      </c>
      <c r="P803">
        <v>126.29</v>
      </c>
      <c r="Q803">
        <v>988.26</v>
      </c>
      <c r="R803">
        <v>53.69</v>
      </c>
      <c r="S803">
        <v>35.43</v>
      </c>
      <c r="T803">
        <v>8020.28</v>
      </c>
      <c r="U803">
        <v>0.66</v>
      </c>
      <c r="V803">
        <v>0.86</v>
      </c>
      <c r="W803">
        <v>3.01</v>
      </c>
      <c r="X803">
        <v>0.51</v>
      </c>
      <c r="Y803">
        <v>1</v>
      </c>
      <c r="Z803">
        <v>10</v>
      </c>
    </row>
    <row r="804" spans="1:26" x14ac:dyDescent="0.3">
      <c r="A804">
        <v>11</v>
      </c>
      <c r="B804">
        <v>65</v>
      </c>
      <c r="C804" t="s">
        <v>26</v>
      </c>
      <c r="D804">
        <v>6.2084999999999999</v>
      </c>
      <c r="E804">
        <v>16.11</v>
      </c>
      <c r="F804">
        <v>13.25</v>
      </c>
      <c r="G804">
        <v>31.79</v>
      </c>
      <c r="H804">
        <v>0.48</v>
      </c>
      <c r="I804">
        <v>25</v>
      </c>
      <c r="J804">
        <v>136.91</v>
      </c>
      <c r="K804">
        <v>46.47</v>
      </c>
      <c r="L804">
        <v>3.75</v>
      </c>
      <c r="M804">
        <v>23</v>
      </c>
      <c r="N804">
        <v>21.69</v>
      </c>
      <c r="O804">
        <v>17119.3</v>
      </c>
      <c r="P804">
        <v>124.44</v>
      </c>
      <c r="Q804">
        <v>988.2</v>
      </c>
      <c r="R804">
        <v>52.97</v>
      </c>
      <c r="S804">
        <v>35.43</v>
      </c>
      <c r="T804">
        <v>7673.14</v>
      </c>
      <c r="U804">
        <v>0.67</v>
      </c>
      <c r="V804">
        <v>0.86</v>
      </c>
      <c r="W804">
        <v>3.01</v>
      </c>
      <c r="X804">
        <v>0.49</v>
      </c>
      <c r="Y804">
        <v>1</v>
      </c>
      <c r="Z804">
        <v>10</v>
      </c>
    </row>
    <row r="805" spans="1:26" x14ac:dyDescent="0.3">
      <c r="A805">
        <v>12</v>
      </c>
      <c r="B805">
        <v>65</v>
      </c>
      <c r="C805" t="s">
        <v>26</v>
      </c>
      <c r="D805">
        <v>6.2504999999999997</v>
      </c>
      <c r="E805">
        <v>16</v>
      </c>
      <c r="F805">
        <v>13.19</v>
      </c>
      <c r="G805">
        <v>34.409999999999997</v>
      </c>
      <c r="H805">
        <v>0.52</v>
      </c>
      <c r="I805">
        <v>23</v>
      </c>
      <c r="J805">
        <v>137.25</v>
      </c>
      <c r="K805">
        <v>46.47</v>
      </c>
      <c r="L805">
        <v>4</v>
      </c>
      <c r="M805">
        <v>21</v>
      </c>
      <c r="N805">
        <v>21.78</v>
      </c>
      <c r="O805">
        <v>17160.919999999998</v>
      </c>
      <c r="P805">
        <v>121.97</v>
      </c>
      <c r="Q805">
        <v>988.1</v>
      </c>
      <c r="R805">
        <v>51.68</v>
      </c>
      <c r="S805">
        <v>35.43</v>
      </c>
      <c r="T805">
        <v>7038.45</v>
      </c>
      <c r="U805">
        <v>0.69</v>
      </c>
      <c r="V805">
        <v>0.86</v>
      </c>
      <c r="W805">
        <v>2.99</v>
      </c>
      <c r="X805">
        <v>0.44</v>
      </c>
      <c r="Y805">
        <v>1</v>
      </c>
      <c r="Z805">
        <v>10</v>
      </c>
    </row>
    <row r="806" spans="1:26" x14ac:dyDescent="0.3">
      <c r="A806">
        <v>13</v>
      </c>
      <c r="B806">
        <v>65</v>
      </c>
      <c r="C806" t="s">
        <v>26</v>
      </c>
      <c r="D806">
        <v>6.2717999999999998</v>
      </c>
      <c r="E806">
        <v>15.94</v>
      </c>
      <c r="F806">
        <v>13.17</v>
      </c>
      <c r="G806">
        <v>35.909999999999997</v>
      </c>
      <c r="H806">
        <v>0.55000000000000004</v>
      </c>
      <c r="I806">
        <v>22</v>
      </c>
      <c r="J806">
        <v>137.58000000000001</v>
      </c>
      <c r="K806">
        <v>46.47</v>
      </c>
      <c r="L806">
        <v>4.25</v>
      </c>
      <c r="M806">
        <v>20</v>
      </c>
      <c r="N806">
        <v>21.87</v>
      </c>
      <c r="O806">
        <v>17202.57</v>
      </c>
      <c r="P806">
        <v>119.93</v>
      </c>
      <c r="Q806">
        <v>988.08</v>
      </c>
      <c r="R806">
        <v>50.68</v>
      </c>
      <c r="S806">
        <v>35.43</v>
      </c>
      <c r="T806">
        <v>6542.25</v>
      </c>
      <c r="U806">
        <v>0.7</v>
      </c>
      <c r="V806">
        <v>0.87</v>
      </c>
      <c r="W806">
        <v>3</v>
      </c>
      <c r="X806">
        <v>0.41</v>
      </c>
      <c r="Y806">
        <v>1</v>
      </c>
      <c r="Z806">
        <v>10</v>
      </c>
    </row>
    <row r="807" spans="1:26" x14ac:dyDescent="0.3">
      <c r="A807">
        <v>14</v>
      </c>
      <c r="B807">
        <v>65</v>
      </c>
      <c r="C807" t="s">
        <v>26</v>
      </c>
      <c r="D807">
        <v>6.3094999999999999</v>
      </c>
      <c r="E807">
        <v>15.85</v>
      </c>
      <c r="F807">
        <v>13.12</v>
      </c>
      <c r="G807">
        <v>39.369999999999997</v>
      </c>
      <c r="H807">
        <v>0.57999999999999996</v>
      </c>
      <c r="I807">
        <v>20</v>
      </c>
      <c r="J807">
        <v>137.91999999999999</v>
      </c>
      <c r="K807">
        <v>46.47</v>
      </c>
      <c r="L807">
        <v>4.5</v>
      </c>
      <c r="M807">
        <v>18</v>
      </c>
      <c r="N807">
        <v>21.95</v>
      </c>
      <c r="O807">
        <v>17244.240000000002</v>
      </c>
      <c r="P807">
        <v>118.01</v>
      </c>
      <c r="Q807">
        <v>988.17</v>
      </c>
      <c r="R807">
        <v>49.16</v>
      </c>
      <c r="S807">
        <v>35.43</v>
      </c>
      <c r="T807">
        <v>5790.55</v>
      </c>
      <c r="U807">
        <v>0.72</v>
      </c>
      <c r="V807">
        <v>0.87</v>
      </c>
      <c r="W807">
        <v>3</v>
      </c>
      <c r="X807">
        <v>0.37</v>
      </c>
      <c r="Y807">
        <v>1</v>
      </c>
      <c r="Z807">
        <v>10</v>
      </c>
    </row>
    <row r="808" spans="1:26" x14ac:dyDescent="0.3">
      <c r="A808">
        <v>15</v>
      </c>
      <c r="B808">
        <v>65</v>
      </c>
      <c r="C808" t="s">
        <v>26</v>
      </c>
      <c r="D808">
        <v>6.3269000000000002</v>
      </c>
      <c r="E808">
        <v>15.81</v>
      </c>
      <c r="F808">
        <v>13.11</v>
      </c>
      <c r="G808">
        <v>41.39</v>
      </c>
      <c r="H808">
        <v>0.61</v>
      </c>
      <c r="I808">
        <v>19</v>
      </c>
      <c r="J808">
        <v>138.26</v>
      </c>
      <c r="K808">
        <v>46.47</v>
      </c>
      <c r="L808">
        <v>4.75</v>
      </c>
      <c r="M808">
        <v>16</v>
      </c>
      <c r="N808">
        <v>22.04</v>
      </c>
      <c r="O808">
        <v>17285.95</v>
      </c>
      <c r="P808">
        <v>115.07</v>
      </c>
      <c r="Q808">
        <v>988.17</v>
      </c>
      <c r="R808">
        <v>48.75</v>
      </c>
      <c r="S808">
        <v>35.43</v>
      </c>
      <c r="T808">
        <v>5593.3</v>
      </c>
      <c r="U808">
        <v>0.73</v>
      </c>
      <c r="V808">
        <v>0.87</v>
      </c>
      <c r="W808">
        <v>2.99</v>
      </c>
      <c r="X808">
        <v>0.35</v>
      </c>
      <c r="Y808">
        <v>1</v>
      </c>
      <c r="Z808">
        <v>10</v>
      </c>
    </row>
    <row r="809" spans="1:26" x14ac:dyDescent="0.3">
      <c r="A809">
        <v>16</v>
      </c>
      <c r="B809">
        <v>65</v>
      </c>
      <c r="C809" t="s">
        <v>26</v>
      </c>
      <c r="D809">
        <v>6.3470000000000004</v>
      </c>
      <c r="E809">
        <v>15.76</v>
      </c>
      <c r="F809">
        <v>13.09</v>
      </c>
      <c r="G809">
        <v>43.62</v>
      </c>
      <c r="H809">
        <v>0.64</v>
      </c>
      <c r="I809">
        <v>18</v>
      </c>
      <c r="J809">
        <v>138.6</v>
      </c>
      <c r="K809">
        <v>46.47</v>
      </c>
      <c r="L809">
        <v>5</v>
      </c>
      <c r="M809">
        <v>12</v>
      </c>
      <c r="N809">
        <v>22.13</v>
      </c>
      <c r="O809">
        <v>17327.689999999999</v>
      </c>
      <c r="P809">
        <v>112.87</v>
      </c>
      <c r="Q809">
        <v>988.08</v>
      </c>
      <c r="R809">
        <v>47.8</v>
      </c>
      <c r="S809">
        <v>35.43</v>
      </c>
      <c r="T809">
        <v>5121.25</v>
      </c>
      <c r="U809">
        <v>0.74</v>
      </c>
      <c r="V809">
        <v>0.87</v>
      </c>
      <c r="W809">
        <v>3</v>
      </c>
      <c r="X809">
        <v>0.33</v>
      </c>
      <c r="Y809">
        <v>1</v>
      </c>
      <c r="Z809">
        <v>10</v>
      </c>
    </row>
    <row r="810" spans="1:26" x14ac:dyDescent="0.3">
      <c r="A810">
        <v>17</v>
      </c>
      <c r="B810">
        <v>65</v>
      </c>
      <c r="C810" t="s">
        <v>26</v>
      </c>
      <c r="D810">
        <v>6.3586</v>
      </c>
      <c r="E810">
        <v>15.73</v>
      </c>
      <c r="F810">
        <v>13.08</v>
      </c>
      <c r="G810">
        <v>46.18</v>
      </c>
      <c r="H810">
        <v>0.67</v>
      </c>
      <c r="I810">
        <v>17</v>
      </c>
      <c r="J810">
        <v>138.94</v>
      </c>
      <c r="K810">
        <v>46.47</v>
      </c>
      <c r="L810">
        <v>5.25</v>
      </c>
      <c r="M810">
        <v>5</v>
      </c>
      <c r="N810">
        <v>22.22</v>
      </c>
      <c r="O810">
        <v>17369.47</v>
      </c>
      <c r="P810">
        <v>111.77</v>
      </c>
      <c r="Q810">
        <v>988.17</v>
      </c>
      <c r="R810">
        <v>47.46</v>
      </c>
      <c r="S810">
        <v>35.43</v>
      </c>
      <c r="T810">
        <v>4953.93</v>
      </c>
      <c r="U810">
        <v>0.75</v>
      </c>
      <c r="V810">
        <v>0.87</v>
      </c>
      <c r="W810">
        <v>3.01</v>
      </c>
      <c r="X810">
        <v>0.33</v>
      </c>
      <c r="Y810">
        <v>1</v>
      </c>
      <c r="Z810">
        <v>10</v>
      </c>
    </row>
    <row r="811" spans="1:26" x14ac:dyDescent="0.3">
      <c r="A811">
        <v>18</v>
      </c>
      <c r="B811">
        <v>65</v>
      </c>
      <c r="C811" t="s">
        <v>26</v>
      </c>
      <c r="D811">
        <v>6.3509000000000002</v>
      </c>
      <c r="E811">
        <v>15.75</v>
      </c>
      <c r="F811">
        <v>13.1</v>
      </c>
      <c r="G811">
        <v>46.25</v>
      </c>
      <c r="H811">
        <v>0.7</v>
      </c>
      <c r="I811">
        <v>17</v>
      </c>
      <c r="J811">
        <v>139.28</v>
      </c>
      <c r="K811">
        <v>46.47</v>
      </c>
      <c r="L811">
        <v>5.5</v>
      </c>
      <c r="M811">
        <v>2</v>
      </c>
      <c r="N811">
        <v>22.31</v>
      </c>
      <c r="O811">
        <v>17411.27</v>
      </c>
      <c r="P811">
        <v>111.81</v>
      </c>
      <c r="Q811">
        <v>988.23</v>
      </c>
      <c r="R811">
        <v>47.9</v>
      </c>
      <c r="S811">
        <v>35.43</v>
      </c>
      <c r="T811">
        <v>5174.8599999999997</v>
      </c>
      <c r="U811">
        <v>0.74</v>
      </c>
      <c r="V811">
        <v>0.87</v>
      </c>
      <c r="W811">
        <v>3.01</v>
      </c>
      <c r="X811">
        <v>0.35</v>
      </c>
      <c r="Y811">
        <v>1</v>
      </c>
      <c r="Z811">
        <v>10</v>
      </c>
    </row>
    <row r="812" spans="1:26" x14ac:dyDescent="0.3">
      <c r="A812">
        <v>19</v>
      </c>
      <c r="B812">
        <v>65</v>
      </c>
      <c r="C812" t="s">
        <v>26</v>
      </c>
      <c r="D812">
        <v>6.3540000000000001</v>
      </c>
      <c r="E812">
        <v>15.74</v>
      </c>
      <c r="F812">
        <v>13.1</v>
      </c>
      <c r="G812">
        <v>46.22</v>
      </c>
      <c r="H812">
        <v>0.73</v>
      </c>
      <c r="I812">
        <v>17</v>
      </c>
      <c r="J812">
        <v>139.61000000000001</v>
      </c>
      <c r="K812">
        <v>46.47</v>
      </c>
      <c r="L812">
        <v>5.75</v>
      </c>
      <c r="M812">
        <v>1</v>
      </c>
      <c r="N812">
        <v>22.4</v>
      </c>
      <c r="O812">
        <v>17453.099999999999</v>
      </c>
      <c r="P812">
        <v>111.87</v>
      </c>
      <c r="Q812">
        <v>988.32</v>
      </c>
      <c r="R812">
        <v>47.77</v>
      </c>
      <c r="S812">
        <v>35.43</v>
      </c>
      <c r="T812">
        <v>5109.3999999999996</v>
      </c>
      <c r="U812">
        <v>0.74</v>
      </c>
      <c r="V812">
        <v>0.87</v>
      </c>
      <c r="W812">
        <v>3.01</v>
      </c>
      <c r="X812">
        <v>0.34</v>
      </c>
      <c r="Y812">
        <v>1</v>
      </c>
      <c r="Z812">
        <v>10</v>
      </c>
    </row>
    <row r="813" spans="1:26" x14ac:dyDescent="0.3">
      <c r="A813">
        <v>20</v>
      </c>
      <c r="B813">
        <v>65</v>
      </c>
      <c r="C813" t="s">
        <v>26</v>
      </c>
      <c r="D813">
        <v>6.3544</v>
      </c>
      <c r="E813">
        <v>15.74</v>
      </c>
      <c r="F813">
        <v>13.09</v>
      </c>
      <c r="G813">
        <v>46.21</v>
      </c>
      <c r="H813">
        <v>0.76</v>
      </c>
      <c r="I813">
        <v>17</v>
      </c>
      <c r="J813">
        <v>139.94999999999999</v>
      </c>
      <c r="K813">
        <v>46.47</v>
      </c>
      <c r="L813">
        <v>6</v>
      </c>
      <c r="M813">
        <v>1</v>
      </c>
      <c r="N813">
        <v>22.49</v>
      </c>
      <c r="O813">
        <v>17494.97</v>
      </c>
      <c r="P813">
        <v>111.92</v>
      </c>
      <c r="Q813">
        <v>988.32</v>
      </c>
      <c r="R813">
        <v>47.71</v>
      </c>
      <c r="S813">
        <v>35.43</v>
      </c>
      <c r="T813">
        <v>5079.37</v>
      </c>
      <c r="U813">
        <v>0.74</v>
      </c>
      <c r="V813">
        <v>0.87</v>
      </c>
      <c r="W813">
        <v>3.01</v>
      </c>
      <c r="X813">
        <v>0.34</v>
      </c>
      <c r="Y813">
        <v>1</v>
      </c>
      <c r="Z813">
        <v>10</v>
      </c>
    </row>
    <row r="814" spans="1:26" x14ac:dyDescent="0.3">
      <c r="A814">
        <v>21</v>
      </c>
      <c r="B814">
        <v>65</v>
      </c>
      <c r="C814" t="s">
        <v>26</v>
      </c>
      <c r="D814">
        <v>6.3540999999999999</v>
      </c>
      <c r="E814">
        <v>15.74</v>
      </c>
      <c r="F814">
        <v>13.09</v>
      </c>
      <c r="G814">
        <v>46.22</v>
      </c>
      <c r="H814">
        <v>0.79</v>
      </c>
      <c r="I814">
        <v>17</v>
      </c>
      <c r="J814">
        <v>140.29</v>
      </c>
      <c r="K814">
        <v>46.47</v>
      </c>
      <c r="L814">
        <v>6.25</v>
      </c>
      <c r="M814">
        <v>0</v>
      </c>
      <c r="N814">
        <v>22.58</v>
      </c>
      <c r="O814">
        <v>17536.87</v>
      </c>
      <c r="P814">
        <v>112.14</v>
      </c>
      <c r="Q814">
        <v>988.36</v>
      </c>
      <c r="R814">
        <v>47.69</v>
      </c>
      <c r="S814">
        <v>35.43</v>
      </c>
      <c r="T814">
        <v>5072.6899999999996</v>
      </c>
      <c r="U814">
        <v>0.74</v>
      </c>
      <c r="V814">
        <v>0.87</v>
      </c>
      <c r="W814">
        <v>3.01</v>
      </c>
      <c r="X814">
        <v>0.34</v>
      </c>
      <c r="Y814">
        <v>1</v>
      </c>
      <c r="Z814">
        <v>10</v>
      </c>
    </row>
    <row r="815" spans="1:26" x14ac:dyDescent="0.3">
      <c r="A815">
        <v>0</v>
      </c>
      <c r="B815">
        <v>130</v>
      </c>
      <c r="C815" t="s">
        <v>26</v>
      </c>
      <c r="D815">
        <v>3.3934000000000002</v>
      </c>
      <c r="E815">
        <v>29.47</v>
      </c>
      <c r="F815">
        <v>16.89</v>
      </c>
      <c r="G815">
        <v>5.07</v>
      </c>
      <c r="H815">
        <v>7.0000000000000007E-2</v>
      </c>
      <c r="I815">
        <v>200</v>
      </c>
      <c r="J815">
        <v>252.85</v>
      </c>
      <c r="K815">
        <v>59.19</v>
      </c>
      <c r="L815">
        <v>1</v>
      </c>
      <c r="M815">
        <v>198</v>
      </c>
      <c r="N815">
        <v>62.65</v>
      </c>
      <c r="O815">
        <v>31418.63</v>
      </c>
      <c r="P815">
        <v>277.60000000000002</v>
      </c>
      <c r="Q815">
        <v>988.97</v>
      </c>
      <c r="R815">
        <v>165.83</v>
      </c>
      <c r="S815">
        <v>35.43</v>
      </c>
      <c r="T815">
        <v>63224.01</v>
      </c>
      <c r="U815">
        <v>0.21</v>
      </c>
      <c r="V815">
        <v>0.68</v>
      </c>
      <c r="W815">
        <v>3.31</v>
      </c>
      <c r="X815">
        <v>4.12</v>
      </c>
      <c r="Y815">
        <v>1</v>
      </c>
      <c r="Z815">
        <v>10</v>
      </c>
    </row>
    <row r="816" spans="1:26" x14ac:dyDescent="0.3">
      <c r="A816">
        <v>1</v>
      </c>
      <c r="B816">
        <v>130</v>
      </c>
      <c r="C816" t="s">
        <v>26</v>
      </c>
      <c r="D816">
        <v>3.8691</v>
      </c>
      <c r="E816">
        <v>25.85</v>
      </c>
      <c r="F816">
        <v>15.76</v>
      </c>
      <c r="G816">
        <v>6.34</v>
      </c>
      <c r="H816">
        <v>0.09</v>
      </c>
      <c r="I816">
        <v>149</v>
      </c>
      <c r="J816">
        <v>253.3</v>
      </c>
      <c r="K816">
        <v>59.19</v>
      </c>
      <c r="L816">
        <v>1.25</v>
      </c>
      <c r="M816">
        <v>147</v>
      </c>
      <c r="N816">
        <v>62.86</v>
      </c>
      <c r="O816">
        <v>31474.5</v>
      </c>
      <c r="P816">
        <v>258.35000000000002</v>
      </c>
      <c r="Q816">
        <v>988.47</v>
      </c>
      <c r="R816">
        <v>131.4</v>
      </c>
      <c r="S816">
        <v>35.43</v>
      </c>
      <c r="T816">
        <v>46267.32</v>
      </c>
      <c r="U816">
        <v>0.27</v>
      </c>
      <c r="V816">
        <v>0.72</v>
      </c>
      <c r="W816">
        <v>3.2</v>
      </c>
      <c r="X816">
        <v>3</v>
      </c>
      <c r="Y816">
        <v>1</v>
      </c>
      <c r="Z816">
        <v>10</v>
      </c>
    </row>
    <row r="817" spans="1:26" x14ac:dyDescent="0.3">
      <c r="A817">
        <v>2</v>
      </c>
      <c r="B817">
        <v>130</v>
      </c>
      <c r="C817" t="s">
        <v>26</v>
      </c>
      <c r="D817">
        <v>4.1917</v>
      </c>
      <c r="E817">
        <v>23.86</v>
      </c>
      <c r="F817">
        <v>15.19</v>
      </c>
      <c r="G817">
        <v>7.59</v>
      </c>
      <c r="H817">
        <v>0.11</v>
      </c>
      <c r="I817">
        <v>120</v>
      </c>
      <c r="J817">
        <v>253.75</v>
      </c>
      <c r="K817">
        <v>59.19</v>
      </c>
      <c r="L817">
        <v>1.5</v>
      </c>
      <c r="M817">
        <v>118</v>
      </c>
      <c r="N817">
        <v>63.06</v>
      </c>
      <c r="O817">
        <v>31530.44</v>
      </c>
      <c r="P817">
        <v>248.26</v>
      </c>
      <c r="Q817">
        <v>988.6</v>
      </c>
      <c r="R817">
        <v>113.37</v>
      </c>
      <c r="S817">
        <v>35.43</v>
      </c>
      <c r="T817">
        <v>37396.239999999998</v>
      </c>
      <c r="U817">
        <v>0.31</v>
      </c>
      <c r="V817">
        <v>0.75</v>
      </c>
      <c r="W817">
        <v>3.16</v>
      </c>
      <c r="X817">
        <v>2.4300000000000002</v>
      </c>
      <c r="Y817">
        <v>1</v>
      </c>
      <c r="Z817">
        <v>10</v>
      </c>
    </row>
    <row r="818" spans="1:26" x14ac:dyDescent="0.3">
      <c r="A818">
        <v>3</v>
      </c>
      <c r="B818">
        <v>130</v>
      </c>
      <c r="C818" t="s">
        <v>26</v>
      </c>
      <c r="D818">
        <v>4.4551999999999996</v>
      </c>
      <c r="E818">
        <v>22.45</v>
      </c>
      <c r="F818">
        <v>14.75</v>
      </c>
      <c r="G818">
        <v>8.85</v>
      </c>
      <c r="H818">
        <v>0.12</v>
      </c>
      <c r="I818">
        <v>100</v>
      </c>
      <c r="J818">
        <v>254.21</v>
      </c>
      <c r="K818">
        <v>59.19</v>
      </c>
      <c r="L818">
        <v>1.75</v>
      </c>
      <c r="M818">
        <v>98</v>
      </c>
      <c r="N818">
        <v>63.26</v>
      </c>
      <c r="O818">
        <v>31586.46</v>
      </c>
      <c r="P818">
        <v>240.39</v>
      </c>
      <c r="Q818">
        <v>988.43</v>
      </c>
      <c r="R818">
        <v>99.84</v>
      </c>
      <c r="S818">
        <v>35.43</v>
      </c>
      <c r="T818">
        <v>30729.19</v>
      </c>
      <c r="U818">
        <v>0.35</v>
      </c>
      <c r="V818">
        <v>0.77</v>
      </c>
      <c r="W818">
        <v>3.12</v>
      </c>
      <c r="X818">
        <v>1.99</v>
      </c>
      <c r="Y818">
        <v>1</v>
      </c>
      <c r="Z818">
        <v>10</v>
      </c>
    </row>
    <row r="819" spans="1:26" x14ac:dyDescent="0.3">
      <c r="A819">
        <v>4</v>
      </c>
      <c r="B819">
        <v>130</v>
      </c>
      <c r="C819" t="s">
        <v>26</v>
      </c>
      <c r="D819">
        <v>4.6536999999999997</v>
      </c>
      <c r="E819">
        <v>21.49</v>
      </c>
      <c r="F819">
        <v>14.48</v>
      </c>
      <c r="G819">
        <v>10.1</v>
      </c>
      <c r="H819">
        <v>0.14000000000000001</v>
      </c>
      <c r="I819">
        <v>86</v>
      </c>
      <c r="J819">
        <v>254.66</v>
      </c>
      <c r="K819">
        <v>59.19</v>
      </c>
      <c r="L819">
        <v>2</v>
      </c>
      <c r="M819">
        <v>84</v>
      </c>
      <c r="N819">
        <v>63.47</v>
      </c>
      <c r="O819">
        <v>31642.55</v>
      </c>
      <c r="P819">
        <v>235.27</v>
      </c>
      <c r="Q819">
        <v>988.19</v>
      </c>
      <c r="R819">
        <v>91.24</v>
      </c>
      <c r="S819">
        <v>35.43</v>
      </c>
      <c r="T819">
        <v>26498.94</v>
      </c>
      <c r="U819">
        <v>0.39</v>
      </c>
      <c r="V819">
        <v>0.79</v>
      </c>
      <c r="W819">
        <v>3.11</v>
      </c>
      <c r="X819">
        <v>1.72</v>
      </c>
      <c r="Y819">
        <v>1</v>
      </c>
      <c r="Z819">
        <v>10</v>
      </c>
    </row>
    <row r="820" spans="1:26" x14ac:dyDescent="0.3">
      <c r="A820">
        <v>5</v>
      </c>
      <c r="B820">
        <v>130</v>
      </c>
      <c r="C820" t="s">
        <v>26</v>
      </c>
      <c r="D820">
        <v>4.8319999999999999</v>
      </c>
      <c r="E820">
        <v>20.7</v>
      </c>
      <c r="F820">
        <v>14.22</v>
      </c>
      <c r="G820">
        <v>11.38</v>
      </c>
      <c r="H820">
        <v>0.16</v>
      </c>
      <c r="I820">
        <v>75</v>
      </c>
      <c r="J820">
        <v>255.12</v>
      </c>
      <c r="K820">
        <v>59.19</v>
      </c>
      <c r="L820">
        <v>2.25</v>
      </c>
      <c r="M820">
        <v>73</v>
      </c>
      <c r="N820">
        <v>63.67</v>
      </c>
      <c r="O820">
        <v>31698.720000000001</v>
      </c>
      <c r="P820">
        <v>230.35</v>
      </c>
      <c r="Q820">
        <v>988.17</v>
      </c>
      <c r="R820">
        <v>83.45</v>
      </c>
      <c r="S820">
        <v>35.43</v>
      </c>
      <c r="T820">
        <v>22659.35</v>
      </c>
      <c r="U820">
        <v>0.42</v>
      </c>
      <c r="V820">
        <v>0.8</v>
      </c>
      <c r="W820">
        <v>3.08</v>
      </c>
      <c r="X820">
        <v>1.47</v>
      </c>
      <c r="Y820">
        <v>1</v>
      </c>
      <c r="Z820">
        <v>10</v>
      </c>
    </row>
    <row r="821" spans="1:26" x14ac:dyDescent="0.3">
      <c r="A821">
        <v>6</v>
      </c>
      <c r="B821">
        <v>130</v>
      </c>
      <c r="C821" t="s">
        <v>26</v>
      </c>
      <c r="D821">
        <v>4.9781000000000004</v>
      </c>
      <c r="E821">
        <v>20.09</v>
      </c>
      <c r="F821">
        <v>14.06</v>
      </c>
      <c r="G821">
        <v>12.78</v>
      </c>
      <c r="H821">
        <v>0.17</v>
      </c>
      <c r="I821">
        <v>66</v>
      </c>
      <c r="J821">
        <v>255.57</v>
      </c>
      <c r="K821">
        <v>59.19</v>
      </c>
      <c r="L821">
        <v>2.5</v>
      </c>
      <c r="M821">
        <v>64</v>
      </c>
      <c r="N821">
        <v>63.88</v>
      </c>
      <c r="O821">
        <v>31754.97</v>
      </c>
      <c r="P821">
        <v>227.06</v>
      </c>
      <c r="Q821">
        <v>988.45</v>
      </c>
      <c r="R821">
        <v>78.099999999999994</v>
      </c>
      <c r="S821">
        <v>35.43</v>
      </c>
      <c r="T821">
        <v>20032.009999999998</v>
      </c>
      <c r="U821">
        <v>0.45</v>
      </c>
      <c r="V821">
        <v>0.81</v>
      </c>
      <c r="W821">
        <v>3.07</v>
      </c>
      <c r="X821">
        <v>1.3</v>
      </c>
      <c r="Y821">
        <v>1</v>
      </c>
      <c r="Z821">
        <v>10</v>
      </c>
    </row>
    <row r="822" spans="1:26" x14ac:dyDescent="0.3">
      <c r="A822">
        <v>7</v>
      </c>
      <c r="B822">
        <v>130</v>
      </c>
      <c r="C822" t="s">
        <v>26</v>
      </c>
      <c r="D822">
        <v>5.0784000000000002</v>
      </c>
      <c r="E822">
        <v>19.690000000000001</v>
      </c>
      <c r="F822">
        <v>13.95</v>
      </c>
      <c r="G822">
        <v>13.95</v>
      </c>
      <c r="H822">
        <v>0.19</v>
      </c>
      <c r="I822">
        <v>60</v>
      </c>
      <c r="J822">
        <v>256.02999999999997</v>
      </c>
      <c r="K822">
        <v>59.19</v>
      </c>
      <c r="L822">
        <v>2.75</v>
      </c>
      <c r="M822">
        <v>58</v>
      </c>
      <c r="N822">
        <v>64.09</v>
      </c>
      <c r="O822">
        <v>31811.29</v>
      </c>
      <c r="P822">
        <v>224.67</v>
      </c>
      <c r="Q822">
        <v>988.44</v>
      </c>
      <c r="R822">
        <v>75.02</v>
      </c>
      <c r="S822">
        <v>35.43</v>
      </c>
      <c r="T822">
        <v>18523.509999999998</v>
      </c>
      <c r="U822">
        <v>0.47</v>
      </c>
      <c r="V822">
        <v>0.82</v>
      </c>
      <c r="W822">
        <v>3.06</v>
      </c>
      <c r="X822">
        <v>1.2</v>
      </c>
      <c r="Y822">
        <v>1</v>
      </c>
      <c r="Z822">
        <v>10</v>
      </c>
    </row>
    <row r="823" spans="1:26" x14ac:dyDescent="0.3">
      <c r="A823">
        <v>8</v>
      </c>
      <c r="B823">
        <v>130</v>
      </c>
      <c r="C823" t="s">
        <v>26</v>
      </c>
      <c r="D823">
        <v>5.1901999999999999</v>
      </c>
      <c r="E823">
        <v>19.27</v>
      </c>
      <c r="F823">
        <v>13.82</v>
      </c>
      <c r="G823">
        <v>15.36</v>
      </c>
      <c r="H823">
        <v>0.21</v>
      </c>
      <c r="I823">
        <v>54</v>
      </c>
      <c r="J823">
        <v>256.49</v>
      </c>
      <c r="K823">
        <v>59.19</v>
      </c>
      <c r="L823">
        <v>3</v>
      </c>
      <c r="M823">
        <v>52</v>
      </c>
      <c r="N823">
        <v>64.290000000000006</v>
      </c>
      <c r="O823">
        <v>31867.69</v>
      </c>
      <c r="P823">
        <v>221.89</v>
      </c>
      <c r="Q823">
        <v>988.16</v>
      </c>
      <c r="R823">
        <v>70.53</v>
      </c>
      <c r="S823">
        <v>35.43</v>
      </c>
      <c r="T823">
        <v>16303.59</v>
      </c>
      <c r="U823">
        <v>0.5</v>
      </c>
      <c r="V823">
        <v>0.82</v>
      </c>
      <c r="W823">
        <v>3.06</v>
      </c>
      <c r="X823">
        <v>1.07</v>
      </c>
      <c r="Y823">
        <v>1</v>
      </c>
      <c r="Z823">
        <v>10</v>
      </c>
    </row>
    <row r="824" spans="1:26" x14ac:dyDescent="0.3">
      <c r="A824">
        <v>9</v>
      </c>
      <c r="B824">
        <v>130</v>
      </c>
      <c r="C824" t="s">
        <v>26</v>
      </c>
      <c r="D824">
        <v>5.2638999999999996</v>
      </c>
      <c r="E824">
        <v>19</v>
      </c>
      <c r="F824">
        <v>13.75</v>
      </c>
      <c r="G824">
        <v>16.5</v>
      </c>
      <c r="H824">
        <v>0.23</v>
      </c>
      <c r="I824">
        <v>50</v>
      </c>
      <c r="J824">
        <v>256.95</v>
      </c>
      <c r="K824">
        <v>59.19</v>
      </c>
      <c r="L824">
        <v>3.25</v>
      </c>
      <c r="M824">
        <v>48</v>
      </c>
      <c r="N824">
        <v>64.5</v>
      </c>
      <c r="O824">
        <v>31924.29</v>
      </c>
      <c r="P824">
        <v>220.08</v>
      </c>
      <c r="Q824">
        <v>988.28</v>
      </c>
      <c r="R824">
        <v>68.819999999999993</v>
      </c>
      <c r="S824">
        <v>35.43</v>
      </c>
      <c r="T824">
        <v>15470.76</v>
      </c>
      <c r="U824">
        <v>0.51</v>
      </c>
      <c r="V824">
        <v>0.83</v>
      </c>
      <c r="W824">
        <v>3.04</v>
      </c>
      <c r="X824">
        <v>0.99</v>
      </c>
      <c r="Y824">
        <v>1</v>
      </c>
      <c r="Z824">
        <v>10</v>
      </c>
    </row>
    <row r="825" spans="1:26" x14ac:dyDescent="0.3">
      <c r="A825">
        <v>10</v>
      </c>
      <c r="B825">
        <v>130</v>
      </c>
      <c r="C825" t="s">
        <v>26</v>
      </c>
      <c r="D825">
        <v>5.3459000000000003</v>
      </c>
      <c r="E825">
        <v>18.71</v>
      </c>
      <c r="F825">
        <v>13.65</v>
      </c>
      <c r="G825">
        <v>17.809999999999999</v>
      </c>
      <c r="H825">
        <v>0.24</v>
      </c>
      <c r="I825">
        <v>46</v>
      </c>
      <c r="J825">
        <v>257.41000000000003</v>
      </c>
      <c r="K825">
        <v>59.19</v>
      </c>
      <c r="L825">
        <v>3.5</v>
      </c>
      <c r="M825">
        <v>44</v>
      </c>
      <c r="N825">
        <v>64.709999999999994</v>
      </c>
      <c r="O825">
        <v>31980.84</v>
      </c>
      <c r="P825">
        <v>217.71</v>
      </c>
      <c r="Q825">
        <v>988.09</v>
      </c>
      <c r="R825">
        <v>65.319999999999993</v>
      </c>
      <c r="S825">
        <v>35.43</v>
      </c>
      <c r="T825">
        <v>13743.12</v>
      </c>
      <c r="U825">
        <v>0.54</v>
      </c>
      <c r="V825">
        <v>0.83</v>
      </c>
      <c r="W825">
        <v>3.05</v>
      </c>
      <c r="X825">
        <v>0.9</v>
      </c>
      <c r="Y825">
        <v>1</v>
      </c>
      <c r="Z825">
        <v>10</v>
      </c>
    </row>
    <row r="826" spans="1:26" x14ac:dyDescent="0.3">
      <c r="A826">
        <v>11</v>
      </c>
      <c r="B826">
        <v>130</v>
      </c>
      <c r="C826" t="s">
        <v>26</v>
      </c>
      <c r="D826">
        <v>5.4043000000000001</v>
      </c>
      <c r="E826">
        <v>18.5</v>
      </c>
      <c r="F826">
        <v>13.6</v>
      </c>
      <c r="G826">
        <v>18.97</v>
      </c>
      <c r="H826">
        <v>0.26</v>
      </c>
      <c r="I826">
        <v>43</v>
      </c>
      <c r="J826">
        <v>257.86</v>
      </c>
      <c r="K826">
        <v>59.19</v>
      </c>
      <c r="L826">
        <v>3.75</v>
      </c>
      <c r="M826">
        <v>41</v>
      </c>
      <c r="N826">
        <v>64.92</v>
      </c>
      <c r="O826">
        <v>32037.48</v>
      </c>
      <c r="P826">
        <v>216.28</v>
      </c>
      <c r="Q826">
        <v>988.19</v>
      </c>
      <c r="R826">
        <v>64.010000000000005</v>
      </c>
      <c r="S826">
        <v>35.43</v>
      </c>
      <c r="T826">
        <v>13102.87</v>
      </c>
      <c r="U826">
        <v>0.55000000000000004</v>
      </c>
      <c r="V826">
        <v>0.84</v>
      </c>
      <c r="W826">
        <v>3.03</v>
      </c>
      <c r="X826">
        <v>0.84</v>
      </c>
      <c r="Y826">
        <v>1</v>
      </c>
      <c r="Z826">
        <v>10</v>
      </c>
    </row>
    <row r="827" spans="1:26" x14ac:dyDescent="0.3">
      <c r="A827">
        <v>12</v>
      </c>
      <c r="B827">
        <v>130</v>
      </c>
      <c r="C827" t="s">
        <v>26</v>
      </c>
      <c r="D827">
        <v>5.4706999999999999</v>
      </c>
      <c r="E827">
        <v>18.28</v>
      </c>
      <c r="F827">
        <v>13.52</v>
      </c>
      <c r="G827">
        <v>20.28</v>
      </c>
      <c r="H827">
        <v>0.28000000000000003</v>
      </c>
      <c r="I827">
        <v>40</v>
      </c>
      <c r="J827">
        <v>258.32</v>
      </c>
      <c r="K827">
        <v>59.19</v>
      </c>
      <c r="L827">
        <v>4</v>
      </c>
      <c r="M827">
        <v>38</v>
      </c>
      <c r="N827">
        <v>65.13</v>
      </c>
      <c r="O827">
        <v>32094.19</v>
      </c>
      <c r="P827">
        <v>214.3</v>
      </c>
      <c r="Q827">
        <v>988.2</v>
      </c>
      <c r="R827">
        <v>61.62</v>
      </c>
      <c r="S827">
        <v>35.43</v>
      </c>
      <c r="T827">
        <v>11921.32</v>
      </c>
      <c r="U827">
        <v>0.57999999999999996</v>
      </c>
      <c r="V827">
        <v>0.84</v>
      </c>
      <c r="W827">
        <v>3.02</v>
      </c>
      <c r="X827">
        <v>0.76</v>
      </c>
      <c r="Y827">
        <v>1</v>
      </c>
      <c r="Z827">
        <v>10</v>
      </c>
    </row>
    <row r="828" spans="1:26" x14ac:dyDescent="0.3">
      <c r="A828">
        <v>13</v>
      </c>
      <c r="B828">
        <v>130</v>
      </c>
      <c r="C828" t="s">
        <v>26</v>
      </c>
      <c r="D828">
        <v>5.5278999999999998</v>
      </c>
      <c r="E828">
        <v>18.09</v>
      </c>
      <c r="F828">
        <v>13.48</v>
      </c>
      <c r="G828">
        <v>21.85</v>
      </c>
      <c r="H828">
        <v>0.28999999999999998</v>
      </c>
      <c r="I828">
        <v>37</v>
      </c>
      <c r="J828">
        <v>258.77999999999997</v>
      </c>
      <c r="K828">
        <v>59.19</v>
      </c>
      <c r="L828">
        <v>4.25</v>
      </c>
      <c r="M828">
        <v>35</v>
      </c>
      <c r="N828">
        <v>65.34</v>
      </c>
      <c r="O828">
        <v>32150.98</v>
      </c>
      <c r="P828">
        <v>212.93</v>
      </c>
      <c r="Q828">
        <v>988.3</v>
      </c>
      <c r="R828">
        <v>60.2</v>
      </c>
      <c r="S828">
        <v>35.43</v>
      </c>
      <c r="T828">
        <v>11224.72</v>
      </c>
      <c r="U828">
        <v>0.59</v>
      </c>
      <c r="V828">
        <v>0.85</v>
      </c>
      <c r="W828">
        <v>3.02</v>
      </c>
      <c r="X828">
        <v>0.72</v>
      </c>
      <c r="Y828">
        <v>1</v>
      </c>
      <c r="Z828">
        <v>10</v>
      </c>
    </row>
    <row r="829" spans="1:26" x14ac:dyDescent="0.3">
      <c r="A829">
        <v>14</v>
      </c>
      <c r="B829">
        <v>130</v>
      </c>
      <c r="C829" t="s">
        <v>26</v>
      </c>
      <c r="D829">
        <v>5.5698999999999996</v>
      </c>
      <c r="E829">
        <v>17.95</v>
      </c>
      <c r="F829">
        <v>13.44</v>
      </c>
      <c r="G829">
        <v>23.04</v>
      </c>
      <c r="H829">
        <v>0.31</v>
      </c>
      <c r="I829">
        <v>35</v>
      </c>
      <c r="J829">
        <v>259.25</v>
      </c>
      <c r="K829">
        <v>59.19</v>
      </c>
      <c r="L829">
        <v>4.5</v>
      </c>
      <c r="M829">
        <v>33</v>
      </c>
      <c r="N829">
        <v>65.55</v>
      </c>
      <c r="O829">
        <v>32207.85</v>
      </c>
      <c r="P829">
        <v>211.75</v>
      </c>
      <c r="Q829">
        <v>988.23</v>
      </c>
      <c r="R829">
        <v>58.76</v>
      </c>
      <c r="S829">
        <v>35.43</v>
      </c>
      <c r="T829">
        <v>10516.09</v>
      </c>
      <c r="U829">
        <v>0.6</v>
      </c>
      <c r="V829">
        <v>0.85</v>
      </c>
      <c r="W829">
        <v>3.03</v>
      </c>
      <c r="X829">
        <v>0.68</v>
      </c>
      <c r="Y829">
        <v>1</v>
      </c>
      <c r="Z829">
        <v>10</v>
      </c>
    </row>
    <row r="830" spans="1:26" x14ac:dyDescent="0.3">
      <c r="A830">
        <v>15</v>
      </c>
      <c r="B830">
        <v>130</v>
      </c>
      <c r="C830" t="s">
        <v>26</v>
      </c>
      <c r="D830">
        <v>5.6108000000000002</v>
      </c>
      <c r="E830">
        <v>17.82</v>
      </c>
      <c r="F830">
        <v>13.4</v>
      </c>
      <c r="G830">
        <v>24.37</v>
      </c>
      <c r="H830">
        <v>0.33</v>
      </c>
      <c r="I830">
        <v>33</v>
      </c>
      <c r="J830">
        <v>259.70999999999998</v>
      </c>
      <c r="K830">
        <v>59.19</v>
      </c>
      <c r="L830">
        <v>4.75</v>
      </c>
      <c r="M830">
        <v>31</v>
      </c>
      <c r="N830">
        <v>65.760000000000005</v>
      </c>
      <c r="O830">
        <v>32264.79</v>
      </c>
      <c r="P830">
        <v>210.26</v>
      </c>
      <c r="Q830">
        <v>988.16</v>
      </c>
      <c r="R830">
        <v>57.73</v>
      </c>
      <c r="S830">
        <v>35.43</v>
      </c>
      <c r="T830">
        <v>10012.42</v>
      </c>
      <c r="U830">
        <v>0.61</v>
      </c>
      <c r="V830">
        <v>0.85</v>
      </c>
      <c r="W830">
        <v>3.03</v>
      </c>
      <c r="X830">
        <v>0.65</v>
      </c>
      <c r="Y830">
        <v>1</v>
      </c>
      <c r="Z830">
        <v>10</v>
      </c>
    </row>
    <row r="831" spans="1:26" x14ac:dyDescent="0.3">
      <c r="A831">
        <v>16</v>
      </c>
      <c r="B831">
        <v>130</v>
      </c>
      <c r="C831" t="s">
        <v>26</v>
      </c>
      <c r="D831">
        <v>5.6542000000000003</v>
      </c>
      <c r="E831">
        <v>17.690000000000001</v>
      </c>
      <c r="F831">
        <v>13.37</v>
      </c>
      <c r="G831">
        <v>25.87</v>
      </c>
      <c r="H831">
        <v>0.34</v>
      </c>
      <c r="I831">
        <v>31</v>
      </c>
      <c r="J831">
        <v>260.17</v>
      </c>
      <c r="K831">
        <v>59.19</v>
      </c>
      <c r="L831">
        <v>5</v>
      </c>
      <c r="M831">
        <v>29</v>
      </c>
      <c r="N831">
        <v>65.98</v>
      </c>
      <c r="O831">
        <v>32321.82</v>
      </c>
      <c r="P831">
        <v>209.12</v>
      </c>
      <c r="Q831">
        <v>988.12</v>
      </c>
      <c r="R831">
        <v>56.75</v>
      </c>
      <c r="S831">
        <v>35.43</v>
      </c>
      <c r="T831">
        <v>9531.9599999999991</v>
      </c>
      <c r="U831">
        <v>0.62</v>
      </c>
      <c r="V831">
        <v>0.85</v>
      </c>
      <c r="W831">
        <v>3.02</v>
      </c>
      <c r="X831">
        <v>0.61</v>
      </c>
      <c r="Y831">
        <v>1</v>
      </c>
      <c r="Z831">
        <v>10</v>
      </c>
    </row>
    <row r="832" spans="1:26" x14ac:dyDescent="0.3">
      <c r="A832">
        <v>17</v>
      </c>
      <c r="B832">
        <v>130</v>
      </c>
      <c r="C832" t="s">
        <v>26</v>
      </c>
      <c r="D832">
        <v>5.6833</v>
      </c>
      <c r="E832">
        <v>17.600000000000001</v>
      </c>
      <c r="F832">
        <v>13.32</v>
      </c>
      <c r="G832">
        <v>26.65</v>
      </c>
      <c r="H832">
        <v>0.36</v>
      </c>
      <c r="I832">
        <v>30</v>
      </c>
      <c r="J832">
        <v>260.63</v>
      </c>
      <c r="K832">
        <v>59.19</v>
      </c>
      <c r="L832">
        <v>5.25</v>
      </c>
      <c r="M832">
        <v>28</v>
      </c>
      <c r="N832">
        <v>66.19</v>
      </c>
      <c r="O832">
        <v>32378.93</v>
      </c>
      <c r="P832">
        <v>207.94</v>
      </c>
      <c r="Q832">
        <v>988.14</v>
      </c>
      <c r="R832">
        <v>55.5</v>
      </c>
      <c r="S832">
        <v>35.43</v>
      </c>
      <c r="T832">
        <v>8913.08</v>
      </c>
      <c r="U832">
        <v>0.64</v>
      </c>
      <c r="V832">
        <v>0.86</v>
      </c>
      <c r="W832">
        <v>3.01</v>
      </c>
      <c r="X832">
        <v>0.56999999999999995</v>
      </c>
      <c r="Y832">
        <v>1</v>
      </c>
      <c r="Z832">
        <v>10</v>
      </c>
    </row>
    <row r="833" spans="1:26" x14ac:dyDescent="0.3">
      <c r="A833">
        <v>18</v>
      </c>
      <c r="B833">
        <v>130</v>
      </c>
      <c r="C833" t="s">
        <v>26</v>
      </c>
      <c r="D833">
        <v>5.7210999999999999</v>
      </c>
      <c r="E833">
        <v>17.48</v>
      </c>
      <c r="F833">
        <v>13.31</v>
      </c>
      <c r="G833">
        <v>28.51</v>
      </c>
      <c r="H833">
        <v>0.37</v>
      </c>
      <c r="I833">
        <v>28</v>
      </c>
      <c r="J833">
        <v>261.10000000000002</v>
      </c>
      <c r="K833">
        <v>59.19</v>
      </c>
      <c r="L833">
        <v>5.5</v>
      </c>
      <c r="M833">
        <v>26</v>
      </c>
      <c r="N833">
        <v>66.400000000000006</v>
      </c>
      <c r="O833">
        <v>32436.11</v>
      </c>
      <c r="P833">
        <v>206.63</v>
      </c>
      <c r="Q833">
        <v>988.15</v>
      </c>
      <c r="R833">
        <v>55</v>
      </c>
      <c r="S833">
        <v>35.43</v>
      </c>
      <c r="T833">
        <v>8669.4</v>
      </c>
      <c r="U833">
        <v>0.64</v>
      </c>
      <c r="V833">
        <v>0.86</v>
      </c>
      <c r="W833">
        <v>3.01</v>
      </c>
      <c r="X833">
        <v>0.55000000000000004</v>
      </c>
      <c r="Y833">
        <v>1</v>
      </c>
      <c r="Z833">
        <v>10</v>
      </c>
    </row>
    <row r="834" spans="1:26" x14ac:dyDescent="0.3">
      <c r="A834">
        <v>19</v>
      </c>
      <c r="B834">
        <v>130</v>
      </c>
      <c r="C834" t="s">
        <v>26</v>
      </c>
      <c r="D834">
        <v>5.75</v>
      </c>
      <c r="E834">
        <v>17.39</v>
      </c>
      <c r="F834">
        <v>13.27</v>
      </c>
      <c r="G834">
        <v>29.48</v>
      </c>
      <c r="H834">
        <v>0.39</v>
      </c>
      <c r="I834">
        <v>27</v>
      </c>
      <c r="J834">
        <v>261.56</v>
      </c>
      <c r="K834">
        <v>59.19</v>
      </c>
      <c r="L834">
        <v>5.75</v>
      </c>
      <c r="M834">
        <v>25</v>
      </c>
      <c r="N834">
        <v>66.62</v>
      </c>
      <c r="O834">
        <v>32493.38</v>
      </c>
      <c r="P834">
        <v>205.34</v>
      </c>
      <c r="Q834">
        <v>988.14</v>
      </c>
      <c r="R834">
        <v>53.87</v>
      </c>
      <c r="S834">
        <v>35.43</v>
      </c>
      <c r="T834">
        <v>8112.4</v>
      </c>
      <c r="U834">
        <v>0.66</v>
      </c>
      <c r="V834">
        <v>0.86</v>
      </c>
      <c r="W834">
        <v>3</v>
      </c>
      <c r="X834">
        <v>0.51</v>
      </c>
      <c r="Y834">
        <v>1</v>
      </c>
      <c r="Z834">
        <v>10</v>
      </c>
    </row>
    <row r="835" spans="1:26" x14ac:dyDescent="0.3">
      <c r="A835">
        <v>20</v>
      </c>
      <c r="B835">
        <v>130</v>
      </c>
      <c r="C835" t="s">
        <v>26</v>
      </c>
      <c r="D835">
        <v>5.7732999999999999</v>
      </c>
      <c r="E835">
        <v>17.32</v>
      </c>
      <c r="F835">
        <v>13.24</v>
      </c>
      <c r="G835">
        <v>30.57</v>
      </c>
      <c r="H835">
        <v>0.41</v>
      </c>
      <c r="I835">
        <v>26</v>
      </c>
      <c r="J835">
        <v>262.02999999999997</v>
      </c>
      <c r="K835">
        <v>59.19</v>
      </c>
      <c r="L835">
        <v>6</v>
      </c>
      <c r="M835">
        <v>24</v>
      </c>
      <c r="N835">
        <v>66.83</v>
      </c>
      <c r="O835">
        <v>32550.720000000001</v>
      </c>
      <c r="P835">
        <v>204.52</v>
      </c>
      <c r="Q835">
        <v>988.16</v>
      </c>
      <c r="R835">
        <v>53.03</v>
      </c>
      <c r="S835">
        <v>35.43</v>
      </c>
      <c r="T835">
        <v>7693.88</v>
      </c>
      <c r="U835">
        <v>0.67</v>
      </c>
      <c r="V835">
        <v>0.86</v>
      </c>
      <c r="W835">
        <v>3.01</v>
      </c>
      <c r="X835">
        <v>0.49</v>
      </c>
      <c r="Y835">
        <v>1</v>
      </c>
      <c r="Z835">
        <v>10</v>
      </c>
    </row>
    <row r="836" spans="1:26" x14ac:dyDescent="0.3">
      <c r="A836">
        <v>21</v>
      </c>
      <c r="B836">
        <v>130</v>
      </c>
      <c r="C836" t="s">
        <v>26</v>
      </c>
      <c r="D836">
        <v>5.7915999999999999</v>
      </c>
      <c r="E836">
        <v>17.27</v>
      </c>
      <c r="F836">
        <v>13.24</v>
      </c>
      <c r="G836">
        <v>31.77</v>
      </c>
      <c r="H836">
        <v>0.42</v>
      </c>
      <c r="I836">
        <v>25</v>
      </c>
      <c r="J836">
        <v>262.49</v>
      </c>
      <c r="K836">
        <v>59.19</v>
      </c>
      <c r="L836">
        <v>6.25</v>
      </c>
      <c r="M836">
        <v>23</v>
      </c>
      <c r="N836">
        <v>67.05</v>
      </c>
      <c r="O836">
        <v>32608.15</v>
      </c>
      <c r="P836">
        <v>203.61</v>
      </c>
      <c r="Q836">
        <v>988.28</v>
      </c>
      <c r="R836">
        <v>52.85</v>
      </c>
      <c r="S836">
        <v>35.43</v>
      </c>
      <c r="T836">
        <v>7609.98</v>
      </c>
      <c r="U836">
        <v>0.67</v>
      </c>
      <c r="V836">
        <v>0.86</v>
      </c>
      <c r="W836">
        <v>3.01</v>
      </c>
      <c r="X836">
        <v>0.48</v>
      </c>
      <c r="Y836">
        <v>1</v>
      </c>
      <c r="Z836">
        <v>10</v>
      </c>
    </row>
    <row r="837" spans="1:26" x14ac:dyDescent="0.3">
      <c r="A837">
        <v>22</v>
      </c>
      <c r="B837">
        <v>130</v>
      </c>
      <c r="C837" t="s">
        <v>26</v>
      </c>
      <c r="D837">
        <v>5.8231000000000002</v>
      </c>
      <c r="E837">
        <v>17.170000000000002</v>
      </c>
      <c r="F837">
        <v>13.19</v>
      </c>
      <c r="G837">
        <v>32.99</v>
      </c>
      <c r="H837">
        <v>0.44</v>
      </c>
      <c r="I837">
        <v>24</v>
      </c>
      <c r="J837">
        <v>262.95999999999998</v>
      </c>
      <c r="K837">
        <v>59.19</v>
      </c>
      <c r="L837">
        <v>6.5</v>
      </c>
      <c r="M837">
        <v>22</v>
      </c>
      <c r="N837">
        <v>67.260000000000005</v>
      </c>
      <c r="O837">
        <v>32665.66</v>
      </c>
      <c r="P837">
        <v>202.1</v>
      </c>
      <c r="Q837">
        <v>988.17</v>
      </c>
      <c r="R837">
        <v>51.5</v>
      </c>
      <c r="S837">
        <v>35.43</v>
      </c>
      <c r="T837">
        <v>6943.43</v>
      </c>
      <c r="U837">
        <v>0.69</v>
      </c>
      <c r="V837">
        <v>0.86</v>
      </c>
      <c r="W837">
        <v>3</v>
      </c>
      <c r="X837">
        <v>0.44</v>
      </c>
      <c r="Y837">
        <v>1</v>
      </c>
      <c r="Z837">
        <v>10</v>
      </c>
    </row>
    <row r="838" spans="1:26" x14ac:dyDescent="0.3">
      <c r="A838">
        <v>23</v>
      </c>
      <c r="B838">
        <v>130</v>
      </c>
      <c r="C838" t="s">
        <v>26</v>
      </c>
      <c r="D838">
        <v>5.8402000000000003</v>
      </c>
      <c r="E838">
        <v>17.12</v>
      </c>
      <c r="F838">
        <v>13.19</v>
      </c>
      <c r="G838">
        <v>34.42</v>
      </c>
      <c r="H838">
        <v>0.46</v>
      </c>
      <c r="I838">
        <v>23</v>
      </c>
      <c r="J838">
        <v>263.42</v>
      </c>
      <c r="K838">
        <v>59.19</v>
      </c>
      <c r="L838">
        <v>6.75</v>
      </c>
      <c r="M838">
        <v>21</v>
      </c>
      <c r="N838">
        <v>67.48</v>
      </c>
      <c r="O838">
        <v>32723.25</v>
      </c>
      <c r="P838">
        <v>201.75</v>
      </c>
      <c r="Q838">
        <v>988.21</v>
      </c>
      <c r="R838">
        <v>51.4</v>
      </c>
      <c r="S838">
        <v>35.43</v>
      </c>
      <c r="T838">
        <v>6894.33</v>
      </c>
      <c r="U838">
        <v>0.69</v>
      </c>
      <c r="V838">
        <v>0.86</v>
      </c>
      <c r="W838">
        <v>3</v>
      </c>
      <c r="X838">
        <v>0.44</v>
      </c>
      <c r="Y838">
        <v>1</v>
      </c>
      <c r="Z838">
        <v>10</v>
      </c>
    </row>
    <row r="839" spans="1:26" x14ac:dyDescent="0.3">
      <c r="A839">
        <v>24</v>
      </c>
      <c r="B839">
        <v>130</v>
      </c>
      <c r="C839" t="s">
        <v>26</v>
      </c>
      <c r="D839">
        <v>5.8663999999999996</v>
      </c>
      <c r="E839">
        <v>17.05</v>
      </c>
      <c r="F839">
        <v>13.17</v>
      </c>
      <c r="G839">
        <v>35.909999999999997</v>
      </c>
      <c r="H839">
        <v>0.47</v>
      </c>
      <c r="I839">
        <v>22</v>
      </c>
      <c r="J839">
        <v>263.89</v>
      </c>
      <c r="K839">
        <v>59.19</v>
      </c>
      <c r="L839">
        <v>7</v>
      </c>
      <c r="M839">
        <v>20</v>
      </c>
      <c r="N839">
        <v>67.7</v>
      </c>
      <c r="O839">
        <v>32780.92</v>
      </c>
      <c r="P839">
        <v>200.6</v>
      </c>
      <c r="Q839">
        <v>988.11</v>
      </c>
      <c r="R839">
        <v>50.49</v>
      </c>
      <c r="S839">
        <v>35.43</v>
      </c>
      <c r="T839">
        <v>6448.48</v>
      </c>
      <c r="U839">
        <v>0.7</v>
      </c>
      <c r="V839">
        <v>0.87</v>
      </c>
      <c r="W839">
        <v>3</v>
      </c>
      <c r="X839">
        <v>0.41</v>
      </c>
      <c r="Y839">
        <v>1</v>
      </c>
      <c r="Z839">
        <v>10</v>
      </c>
    </row>
    <row r="840" spans="1:26" x14ac:dyDescent="0.3">
      <c r="A840">
        <v>25</v>
      </c>
      <c r="B840">
        <v>130</v>
      </c>
      <c r="C840" t="s">
        <v>26</v>
      </c>
      <c r="D840">
        <v>5.8856000000000002</v>
      </c>
      <c r="E840">
        <v>16.989999999999998</v>
      </c>
      <c r="F840">
        <v>13.16</v>
      </c>
      <c r="G840">
        <v>37.6</v>
      </c>
      <c r="H840">
        <v>0.49</v>
      </c>
      <c r="I840">
        <v>21</v>
      </c>
      <c r="J840">
        <v>264.36</v>
      </c>
      <c r="K840">
        <v>59.19</v>
      </c>
      <c r="L840">
        <v>7.25</v>
      </c>
      <c r="M840">
        <v>19</v>
      </c>
      <c r="N840">
        <v>67.92</v>
      </c>
      <c r="O840">
        <v>32838.68</v>
      </c>
      <c r="P840">
        <v>199.56</v>
      </c>
      <c r="Q840">
        <v>988.18</v>
      </c>
      <c r="R840">
        <v>50.45</v>
      </c>
      <c r="S840">
        <v>35.43</v>
      </c>
      <c r="T840">
        <v>6433.28</v>
      </c>
      <c r="U840">
        <v>0.7</v>
      </c>
      <c r="V840">
        <v>0.87</v>
      </c>
      <c r="W840">
        <v>3</v>
      </c>
      <c r="X840">
        <v>0.4</v>
      </c>
      <c r="Y840">
        <v>1</v>
      </c>
      <c r="Z840">
        <v>10</v>
      </c>
    </row>
    <row r="841" spans="1:26" x14ac:dyDescent="0.3">
      <c r="A841">
        <v>26</v>
      </c>
      <c r="B841">
        <v>130</v>
      </c>
      <c r="C841" t="s">
        <v>26</v>
      </c>
      <c r="D841">
        <v>5.9124999999999996</v>
      </c>
      <c r="E841">
        <v>16.91</v>
      </c>
      <c r="F841">
        <v>13.13</v>
      </c>
      <c r="G841">
        <v>39.39</v>
      </c>
      <c r="H841">
        <v>0.5</v>
      </c>
      <c r="I841">
        <v>20</v>
      </c>
      <c r="J841">
        <v>264.83</v>
      </c>
      <c r="K841">
        <v>59.19</v>
      </c>
      <c r="L841">
        <v>7.5</v>
      </c>
      <c r="M841">
        <v>18</v>
      </c>
      <c r="N841">
        <v>68.14</v>
      </c>
      <c r="O841">
        <v>32896.51</v>
      </c>
      <c r="P841">
        <v>198.44</v>
      </c>
      <c r="Q841">
        <v>988.14</v>
      </c>
      <c r="R841">
        <v>49.47</v>
      </c>
      <c r="S841">
        <v>35.43</v>
      </c>
      <c r="T841">
        <v>5948.12</v>
      </c>
      <c r="U841">
        <v>0.72</v>
      </c>
      <c r="V841">
        <v>0.87</v>
      </c>
      <c r="W841">
        <v>3</v>
      </c>
      <c r="X841">
        <v>0.38</v>
      </c>
      <c r="Y841">
        <v>1</v>
      </c>
      <c r="Z841">
        <v>10</v>
      </c>
    </row>
    <row r="842" spans="1:26" x14ac:dyDescent="0.3">
      <c r="A842">
        <v>27</v>
      </c>
      <c r="B842">
        <v>130</v>
      </c>
      <c r="C842" t="s">
        <v>26</v>
      </c>
      <c r="D842">
        <v>5.9145000000000003</v>
      </c>
      <c r="E842">
        <v>16.91</v>
      </c>
      <c r="F842">
        <v>13.12</v>
      </c>
      <c r="G842">
        <v>39.369999999999997</v>
      </c>
      <c r="H842">
        <v>0.52</v>
      </c>
      <c r="I842">
        <v>20</v>
      </c>
      <c r="J842">
        <v>265.3</v>
      </c>
      <c r="K842">
        <v>59.19</v>
      </c>
      <c r="L842">
        <v>7.75</v>
      </c>
      <c r="M842">
        <v>18</v>
      </c>
      <c r="N842">
        <v>68.36</v>
      </c>
      <c r="O842">
        <v>32954.43</v>
      </c>
      <c r="P842">
        <v>197.87</v>
      </c>
      <c r="Q842">
        <v>988.18</v>
      </c>
      <c r="R842">
        <v>49.03</v>
      </c>
      <c r="S842">
        <v>35.43</v>
      </c>
      <c r="T842">
        <v>5725.67</v>
      </c>
      <c r="U842">
        <v>0.72</v>
      </c>
      <c r="V842">
        <v>0.87</v>
      </c>
      <c r="W842">
        <v>3</v>
      </c>
      <c r="X842">
        <v>0.37</v>
      </c>
      <c r="Y842">
        <v>1</v>
      </c>
      <c r="Z842">
        <v>10</v>
      </c>
    </row>
    <row r="843" spans="1:26" x14ac:dyDescent="0.3">
      <c r="A843">
        <v>28</v>
      </c>
      <c r="B843">
        <v>130</v>
      </c>
      <c r="C843" t="s">
        <v>26</v>
      </c>
      <c r="D843">
        <v>5.9374000000000002</v>
      </c>
      <c r="E843">
        <v>16.84</v>
      </c>
      <c r="F843">
        <v>13.11</v>
      </c>
      <c r="G843">
        <v>41.4</v>
      </c>
      <c r="H843">
        <v>0.54</v>
      </c>
      <c r="I843">
        <v>19</v>
      </c>
      <c r="J843">
        <v>265.77</v>
      </c>
      <c r="K843">
        <v>59.19</v>
      </c>
      <c r="L843">
        <v>8</v>
      </c>
      <c r="M843">
        <v>17</v>
      </c>
      <c r="N843">
        <v>68.58</v>
      </c>
      <c r="O843">
        <v>33012.44</v>
      </c>
      <c r="P843">
        <v>196.83</v>
      </c>
      <c r="Q843">
        <v>988.13</v>
      </c>
      <c r="R843">
        <v>48.85</v>
      </c>
      <c r="S843">
        <v>35.43</v>
      </c>
      <c r="T843">
        <v>5639.25</v>
      </c>
      <c r="U843">
        <v>0.73</v>
      </c>
      <c r="V843">
        <v>0.87</v>
      </c>
      <c r="W843">
        <v>2.99</v>
      </c>
      <c r="X843">
        <v>0.35</v>
      </c>
      <c r="Y843">
        <v>1</v>
      </c>
      <c r="Z843">
        <v>10</v>
      </c>
    </row>
    <row r="844" spans="1:26" x14ac:dyDescent="0.3">
      <c r="A844">
        <v>29</v>
      </c>
      <c r="B844">
        <v>130</v>
      </c>
      <c r="C844" t="s">
        <v>26</v>
      </c>
      <c r="D844">
        <v>5.9588000000000001</v>
      </c>
      <c r="E844">
        <v>16.78</v>
      </c>
      <c r="F844">
        <v>13.1</v>
      </c>
      <c r="G844">
        <v>43.66</v>
      </c>
      <c r="H844">
        <v>0.55000000000000004</v>
      </c>
      <c r="I844">
        <v>18</v>
      </c>
      <c r="J844">
        <v>266.24</v>
      </c>
      <c r="K844">
        <v>59.19</v>
      </c>
      <c r="L844">
        <v>8.25</v>
      </c>
      <c r="M844">
        <v>16</v>
      </c>
      <c r="N844">
        <v>68.8</v>
      </c>
      <c r="O844">
        <v>33070.519999999997</v>
      </c>
      <c r="P844">
        <v>195.52</v>
      </c>
      <c r="Q844">
        <v>988.1</v>
      </c>
      <c r="R844">
        <v>48.38</v>
      </c>
      <c r="S844">
        <v>35.43</v>
      </c>
      <c r="T844">
        <v>5410.16</v>
      </c>
      <c r="U844">
        <v>0.73</v>
      </c>
      <c r="V844">
        <v>0.87</v>
      </c>
      <c r="W844">
        <v>2.99</v>
      </c>
      <c r="X844">
        <v>0.34</v>
      </c>
      <c r="Y844">
        <v>1</v>
      </c>
      <c r="Z844">
        <v>10</v>
      </c>
    </row>
    <row r="845" spans="1:26" x14ac:dyDescent="0.3">
      <c r="A845">
        <v>30</v>
      </c>
      <c r="B845">
        <v>130</v>
      </c>
      <c r="C845" t="s">
        <v>26</v>
      </c>
      <c r="D845">
        <v>5.9589999999999996</v>
      </c>
      <c r="E845">
        <v>16.78</v>
      </c>
      <c r="F845">
        <v>13.1</v>
      </c>
      <c r="G845">
        <v>43.65</v>
      </c>
      <c r="H845">
        <v>0.56999999999999995</v>
      </c>
      <c r="I845">
        <v>18</v>
      </c>
      <c r="J845">
        <v>266.70999999999998</v>
      </c>
      <c r="K845">
        <v>59.19</v>
      </c>
      <c r="L845">
        <v>8.5</v>
      </c>
      <c r="M845">
        <v>16</v>
      </c>
      <c r="N845">
        <v>69.02</v>
      </c>
      <c r="O845">
        <v>33128.699999999997</v>
      </c>
      <c r="P845">
        <v>195.03</v>
      </c>
      <c r="Q845">
        <v>988.17</v>
      </c>
      <c r="R845">
        <v>48.41</v>
      </c>
      <c r="S845">
        <v>35.43</v>
      </c>
      <c r="T845">
        <v>5426.58</v>
      </c>
      <c r="U845">
        <v>0.73</v>
      </c>
      <c r="V845">
        <v>0.87</v>
      </c>
      <c r="W845">
        <v>2.99</v>
      </c>
      <c r="X845">
        <v>0.34</v>
      </c>
      <c r="Y845">
        <v>1</v>
      </c>
      <c r="Z845">
        <v>10</v>
      </c>
    </row>
    <row r="846" spans="1:26" x14ac:dyDescent="0.3">
      <c r="A846">
        <v>31</v>
      </c>
      <c r="B846">
        <v>130</v>
      </c>
      <c r="C846" t="s">
        <v>26</v>
      </c>
      <c r="D846">
        <v>5.9852999999999996</v>
      </c>
      <c r="E846">
        <v>16.71</v>
      </c>
      <c r="F846">
        <v>13.07</v>
      </c>
      <c r="G846">
        <v>46.13</v>
      </c>
      <c r="H846">
        <v>0.57999999999999996</v>
      </c>
      <c r="I846">
        <v>17</v>
      </c>
      <c r="J846">
        <v>267.18</v>
      </c>
      <c r="K846">
        <v>59.19</v>
      </c>
      <c r="L846">
        <v>8.75</v>
      </c>
      <c r="M846">
        <v>15</v>
      </c>
      <c r="N846">
        <v>69.239999999999995</v>
      </c>
      <c r="O846">
        <v>33186.949999999997</v>
      </c>
      <c r="P846">
        <v>192.96</v>
      </c>
      <c r="Q846">
        <v>988.09</v>
      </c>
      <c r="R846">
        <v>47.67</v>
      </c>
      <c r="S846">
        <v>35.43</v>
      </c>
      <c r="T846">
        <v>5058.62</v>
      </c>
      <c r="U846">
        <v>0.74</v>
      </c>
      <c r="V846">
        <v>0.87</v>
      </c>
      <c r="W846">
        <v>2.99</v>
      </c>
      <c r="X846">
        <v>0.32</v>
      </c>
      <c r="Y846">
        <v>1</v>
      </c>
      <c r="Z846">
        <v>10</v>
      </c>
    </row>
    <row r="847" spans="1:26" x14ac:dyDescent="0.3">
      <c r="A847">
        <v>32</v>
      </c>
      <c r="B847">
        <v>130</v>
      </c>
      <c r="C847" t="s">
        <v>26</v>
      </c>
      <c r="D847">
        <v>5.9839000000000002</v>
      </c>
      <c r="E847">
        <v>16.71</v>
      </c>
      <c r="F847">
        <v>13.08</v>
      </c>
      <c r="G847">
        <v>46.15</v>
      </c>
      <c r="H847">
        <v>0.6</v>
      </c>
      <c r="I847">
        <v>17</v>
      </c>
      <c r="J847">
        <v>267.66000000000003</v>
      </c>
      <c r="K847">
        <v>59.19</v>
      </c>
      <c r="L847">
        <v>9</v>
      </c>
      <c r="M847">
        <v>15</v>
      </c>
      <c r="N847">
        <v>69.459999999999994</v>
      </c>
      <c r="O847">
        <v>33245.29</v>
      </c>
      <c r="P847">
        <v>192.56</v>
      </c>
      <c r="Q847">
        <v>988.13</v>
      </c>
      <c r="R847">
        <v>47.67</v>
      </c>
      <c r="S847">
        <v>35.43</v>
      </c>
      <c r="T847">
        <v>5062.83</v>
      </c>
      <c r="U847">
        <v>0.74</v>
      </c>
      <c r="V847">
        <v>0.87</v>
      </c>
      <c r="W847">
        <v>2.99</v>
      </c>
      <c r="X847">
        <v>0.32</v>
      </c>
      <c r="Y847">
        <v>1</v>
      </c>
      <c r="Z847">
        <v>10</v>
      </c>
    </row>
    <row r="848" spans="1:26" x14ac:dyDescent="0.3">
      <c r="A848">
        <v>33</v>
      </c>
      <c r="B848">
        <v>130</v>
      </c>
      <c r="C848" t="s">
        <v>26</v>
      </c>
      <c r="D848">
        <v>6.0113000000000003</v>
      </c>
      <c r="E848">
        <v>16.64</v>
      </c>
      <c r="F848">
        <v>13.05</v>
      </c>
      <c r="G848">
        <v>48.93</v>
      </c>
      <c r="H848">
        <v>0.61</v>
      </c>
      <c r="I848">
        <v>16</v>
      </c>
      <c r="J848">
        <v>268.13</v>
      </c>
      <c r="K848">
        <v>59.19</v>
      </c>
      <c r="L848">
        <v>9.25</v>
      </c>
      <c r="M848">
        <v>14</v>
      </c>
      <c r="N848">
        <v>69.69</v>
      </c>
      <c r="O848">
        <v>33303.72</v>
      </c>
      <c r="P848">
        <v>191.73</v>
      </c>
      <c r="Q848">
        <v>988.1</v>
      </c>
      <c r="R848">
        <v>46.77</v>
      </c>
      <c r="S848">
        <v>35.43</v>
      </c>
      <c r="T848">
        <v>4614</v>
      </c>
      <c r="U848">
        <v>0.76</v>
      </c>
      <c r="V848">
        <v>0.87</v>
      </c>
      <c r="W848">
        <v>2.99</v>
      </c>
      <c r="X848">
        <v>0.28999999999999998</v>
      </c>
      <c r="Y848">
        <v>1</v>
      </c>
      <c r="Z848">
        <v>10</v>
      </c>
    </row>
    <row r="849" spans="1:26" x14ac:dyDescent="0.3">
      <c r="A849">
        <v>34</v>
      </c>
      <c r="B849">
        <v>130</v>
      </c>
      <c r="C849" t="s">
        <v>26</v>
      </c>
      <c r="D849">
        <v>6.0102000000000002</v>
      </c>
      <c r="E849">
        <v>16.64</v>
      </c>
      <c r="F849">
        <v>13.05</v>
      </c>
      <c r="G849">
        <v>48.94</v>
      </c>
      <c r="H849">
        <v>0.63</v>
      </c>
      <c r="I849">
        <v>16</v>
      </c>
      <c r="J849">
        <v>268.61</v>
      </c>
      <c r="K849">
        <v>59.19</v>
      </c>
      <c r="L849">
        <v>9.5</v>
      </c>
      <c r="M849">
        <v>14</v>
      </c>
      <c r="N849">
        <v>69.91</v>
      </c>
      <c r="O849">
        <v>33362.230000000003</v>
      </c>
      <c r="P849">
        <v>191.35</v>
      </c>
      <c r="Q849">
        <v>988.08</v>
      </c>
      <c r="R849">
        <v>47.13</v>
      </c>
      <c r="S849">
        <v>35.43</v>
      </c>
      <c r="T849">
        <v>4794.72</v>
      </c>
      <c r="U849">
        <v>0.75</v>
      </c>
      <c r="V849">
        <v>0.87</v>
      </c>
      <c r="W849">
        <v>2.99</v>
      </c>
      <c r="X849">
        <v>0.3</v>
      </c>
      <c r="Y849">
        <v>1</v>
      </c>
      <c r="Z849">
        <v>10</v>
      </c>
    </row>
    <row r="850" spans="1:26" x14ac:dyDescent="0.3">
      <c r="A850">
        <v>35</v>
      </c>
      <c r="B850">
        <v>130</v>
      </c>
      <c r="C850" t="s">
        <v>26</v>
      </c>
      <c r="D850">
        <v>6.0328999999999997</v>
      </c>
      <c r="E850">
        <v>16.579999999999998</v>
      </c>
      <c r="F850">
        <v>13.04</v>
      </c>
      <c r="G850">
        <v>52.15</v>
      </c>
      <c r="H850">
        <v>0.64</v>
      </c>
      <c r="I850">
        <v>15</v>
      </c>
      <c r="J850">
        <v>269.08</v>
      </c>
      <c r="K850">
        <v>59.19</v>
      </c>
      <c r="L850">
        <v>9.75</v>
      </c>
      <c r="M850">
        <v>13</v>
      </c>
      <c r="N850">
        <v>70.14</v>
      </c>
      <c r="O850">
        <v>33420.83</v>
      </c>
      <c r="P850">
        <v>189.98</v>
      </c>
      <c r="Q850">
        <v>988.12</v>
      </c>
      <c r="R850">
        <v>46.68</v>
      </c>
      <c r="S850">
        <v>35.43</v>
      </c>
      <c r="T850">
        <v>4578.09</v>
      </c>
      <c r="U850">
        <v>0.76</v>
      </c>
      <c r="V850">
        <v>0.87</v>
      </c>
      <c r="W850">
        <v>2.99</v>
      </c>
      <c r="X850">
        <v>0.28000000000000003</v>
      </c>
      <c r="Y850">
        <v>1</v>
      </c>
      <c r="Z850">
        <v>10</v>
      </c>
    </row>
    <row r="851" spans="1:26" x14ac:dyDescent="0.3">
      <c r="A851">
        <v>36</v>
      </c>
      <c r="B851">
        <v>130</v>
      </c>
      <c r="C851" t="s">
        <v>26</v>
      </c>
      <c r="D851">
        <v>6.0345000000000004</v>
      </c>
      <c r="E851">
        <v>16.57</v>
      </c>
      <c r="F851">
        <v>13.03</v>
      </c>
      <c r="G851">
        <v>52.13</v>
      </c>
      <c r="H851">
        <v>0.66</v>
      </c>
      <c r="I851">
        <v>15</v>
      </c>
      <c r="J851">
        <v>269.56</v>
      </c>
      <c r="K851">
        <v>59.19</v>
      </c>
      <c r="L851">
        <v>10</v>
      </c>
      <c r="M851">
        <v>13</v>
      </c>
      <c r="N851">
        <v>70.36</v>
      </c>
      <c r="O851">
        <v>33479.51</v>
      </c>
      <c r="P851">
        <v>189.43</v>
      </c>
      <c r="Q851">
        <v>988.13</v>
      </c>
      <c r="R851">
        <v>46.5</v>
      </c>
      <c r="S851">
        <v>35.43</v>
      </c>
      <c r="T851">
        <v>4486.8500000000004</v>
      </c>
      <c r="U851">
        <v>0.76</v>
      </c>
      <c r="V851">
        <v>0.87</v>
      </c>
      <c r="W851">
        <v>2.99</v>
      </c>
      <c r="X851">
        <v>0.28000000000000003</v>
      </c>
      <c r="Y851">
        <v>1</v>
      </c>
      <c r="Z851">
        <v>10</v>
      </c>
    </row>
    <row r="852" spans="1:26" x14ac:dyDescent="0.3">
      <c r="A852">
        <v>37</v>
      </c>
      <c r="B852">
        <v>130</v>
      </c>
      <c r="C852" t="s">
        <v>26</v>
      </c>
      <c r="D852">
        <v>6.032</v>
      </c>
      <c r="E852">
        <v>16.579999999999998</v>
      </c>
      <c r="F852">
        <v>13.04</v>
      </c>
      <c r="G852">
        <v>52.16</v>
      </c>
      <c r="H852">
        <v>0.68</v>
      </c>
      <c r="I852">
        <v>15</v>
      </c>
      <c r="J852">
        <v>270.02999999999997</v>
      </c>
      <c r="K852">
        <v>59.19</v>
      </c>
      <c r="L852">
        <v>10.25</v>
      </c>
      <c r="M852">
        <v>13</v>
      </c>
      <c r="N852">
        <v>70.59</v>
      </c>
      <c r="O852">
        <v>33538.28</v>
      </c>
      <c r="P852">
        <v>188.73</v>
      </c>
      <c r="Q852">
        <v>988.1</v>
      </c>
      <c r="R852">
        <v>46.54</v>
      </c>
      <c r="S852">
        <v>35.43</v>
      </c>
      <c r="T852">
        <v>4505.04</v>
      </c>
      <c r="U852">
        <v>0.76</v>
      </c>
      <c r="V852">
        <v>0.87</v>
      </c>
      <c r="W852">
        <v>2.99</v>
      </c>
      <c r="X852">
        <v>0.28999999999999998</v>
      </c>
      <c r="Y852">
        <v>1</v>
      </c>
      <c r="Z852">
        <v>10</v>
      </c>
    </row>
    <row r="853" spans="1:26" x14ac:dyDescent="0.3">
      <c r="A853">
        <v>38</v>
      </c>
      <c r="B853">
        <v>130</v>
      </c>
      <c r="C853" t="s">
        <v>26</v>
      </c>
      <c r="D853">
        <v>6.0608000000000004</v>
      </c>
      <c r="E853">
        <v>16.5</v>
      </c>
      <c r="F853">
        <v>13.01</v>
      </c>
      <c r="G853">
        <v>55.76</v>
      </c>
      <c r="H853">
        <v>0.69</v>
      </c>
      <c r="I853">
        <v>14</v>
      </c>
      <c r="J853">
        <v>270.51</v>
      </c>
      <c r="K853">
        <v>59.19</v>
      </c>
      <c r="L853">
        <v>10.5</v>
      </c>
      <c r="M853">
        <v>12</v>
      </c>
      <c r="N853">
        <v>70.819999999999993</v>
      </c>
      <c r="O853">
        <v>33597.14</v>
      </c>
      <c r="P853">
        <v>187.53</v>
      </c>
      <c r="Q853">
        <v>988.16</v>
      </c>
      <c r="R853">
        <v>45.59</v>
      </c>
      <c r="S853">
        <v>35.43</v>
      </c>
      <c r="T853">
        <v>4036.03</v>
      </c>
      <c r="U853">
        <v>0.78</v>
      </c>
      <c r="V853">
        <v>0.88</v>
      </c>
      <c r="W853">
        <v>2.99</v>
      </c>
      <c r="X853">
        <v>0.26</v>
      </c>
      <c r="Y853">
        <v>1</v>
      </c>
      <c r="Z853">
        <v>10</v>
      </c>
    </row>
    <row r="854" spans="1:26" x14ac:dyDescent="0.3">
      <c r="A854">
        <v>39</v>
      </c>
      <c r="B854">
        <v>130</v>
      </c>
      <c r="C854" t="s">
        <v>26</v>
      </c>
      <c r="D854">
        <v>6.0624000000000002</v>
      </c>
      <c r="E854">
        <v>16.5</v>
      </c>
      <c r="F854">
        <v>13.01</v>
      </c>
      <c r="G854">
        <v>55.74</v>
      </c>
      <c r="H854">
        <v>0.71</v>
      </c>
      <c r="I854">
        <v>14</v>
      </c>
      <c r="J854">
        <v>270.99</v>
      </c>
      <c r="K854">
        <v>59.19</v>
      </c>
      <c r="L854">
        <v>10.75</v>
      </c>
      <c r="M854">
        <v>12</v>
      </c>
      <c r="N854">
        <v>71.040000000000006</v>
      </c>
      <c r="O854">
        <v>33656.080000000002</v>
      </c>
      <c r="P854">
        <v>187.06</v>
      </c>
      <c r="Q854">
        <v>988.15</v>
      </c>
      <c r="R854">
        <v>45.57</v>
      </c>
      <c r="S854">
        <v>35.43</v>
      </c>
      <c r="T854">
        <v>4027.18</v>
      </c>
      <c r="U854">
        <v>0.78</v>
      </c>
      <c r="V854">
        <v>0.88</v>
      </c>
      <c r="W854">
        <v>2.99</v>
      </c>
      <c r="X854">
        <v>0.25</v>
      </c>
      <c r="Y854">
        <v>1</v>
      </c>
      <c r="Z854">
        <v>10</v>
      </c>
    </row>
    <row r="855" spans="1:26" x14ac:dyDescent="0.3">
      <c r="A855">
        <v>40</v>
      </c>
      <c r="B855">
        <v>130</v>
      </c>
      <c r="C855" t="s">
        <v>26</v>
      </c>
      <c r="D855">
        <v>6.0656999999999996</v>
      </c>
      <c r="E855">
        <v>16.489999999999998</v>
      </c>
      <c r="F855">
        <v>13</v>
      </c>
      <c r="G855">
        <v>55.7</v>
      </c>
      <c r="H855">
        <v>0.72</v>
      </c>
      <c r="I855">
        <v>14</v>
      </c>
      <c r="J855">
        <v>271.47000000000003</v>
      </c>
      <c r="K855">
        <v>59.19</v>
      </c>
      <c r="L855">
        <v>11</v>
      </c>
      <c r="M855">
        <v>12</v>
      </c>
      <c r="N855">
        <v>71.27</v>
      </c>
      <c r="O855">
        <v>33715.11</v>
      </c>
      <c r="P855">
        <v>185.02</v>
      </c>
      <c r="Q855">
        <v>988.09</v>
      </c>
      <c r="R855">
        <v>45.44</v>
      </c>
      <c r="S855">
        <v>35.43</v>
      </c>
      <c r="T855">
        <v>3962.15</v>
      </c>
      <c r="U855">
        <v>0.78</v>
      </c>
      <c r="V855">
        <v>0.88</v>
      </c>
      <c r="W855">
        <v>2.98</v>
      </c>
      <c r="X855">
        <v>0.24</v>
      </c>
      <c r="Y855">
        <v>1</v>
      </c>
      <c r="Z855">
        <v>10</v>
      </c>
    </row>
    <row r="856" spans="1:26" x14ac:dyDescent="0.3">
      <c r="A856">
        <v>41</v>
      </c>
      <c r="B856">
        <v>130</v>
      </c>
      <c r="C856" t="s">
        <v>26</v>
      </c>
      <c r="D856">
        <v>6.0838999999999999</v>
      </c>
      <c r="E856">
        <v>16.440000000000001</v>
      </c>
      <c r="F856">
        <v>13</v>
      </c>
      <c r="G856">
        <v>59.98</v>
      </c>
      <c r="H856">
        <v>0.74</v>
      </c>
      <c r="I856">
        <v>13</v>
      </c>
      <c r="J856">
        <v>271.95</v>
      </c>
      <c r="K856">
        <v>59.19</v>
      </c>
      <c r="L856">
        <v>11.25</v>
      </c>
      <c r="M856">
        <v>11</v>
      </c>
      <c r="N856">
        <v>71.5</v>
      </c>
      <c r="O856">
        <v>33774.230000000003</v>
      </c>
      <c r="P856">
        <v>184.81</v>
      </c>
      <c r="Q856">
        <v>988.08</v>
      </c>
      <c r="R856">
        <v>45.26</v>
      </c>
      <c r="S856">
        <v>35.43</v>
      </c>
      <c r="T856">
        <v>3876.26</v>
      </c>
      <c r="U856">
        <v>0.78</v>
      </c>
      <c r="V856">
        <v>0.88</v>
      </c>
      <c r="W856">
        <v>2.99</v>
      </c>
      <c r="X856">
        <v>0.24</v>
      </c>
      <c r="Y856">
        <v>1</v>
      </c>
      <c r="Z856">
        <v>10</v>
      </c>
    </row>
    <row r="857" spans="1:26" x14ac:dyDescent="0.3">
      <c r="A857">
        <v>42</v>
      </c>
      <c r="B857">
        <v>130</v>
      </c>
      <c r="C857" t="s">
        <v>26</v>
      </c>
      <c r="D857">
        <v>6.0853000000000002</v>
      </c>
      <c r="E857">
        <v>16.43</v>
      </c>
      <c r="F857">
        <v>12.99</v>
      </c>
      <c r="G857">
        <v>59.97</v>
      </c>
      <c r="H857">
        <v>0.75</v>
      </c>
      <c r="I857">
        <v>13</v>
      </c>
      <c r="J857">
        <v>272.43</v>
      </c>
      <c r="K857">
        <v>59.19</v>
      </c>
      <c r="L857">
        <v>11.5</v>
      </c>
      <c r="M857">
        <v>11</v>
      </c>
      <c r="N857">
        <v>71.73</v>
      </c>
      <c r="O857">
        <v>33833.57</v>
      </c>
      <c r="P857">
        <v>184.21</v>
      </c>
      <c r="Q857">
        <v>988.09</v>
      </c>
      <c r="R857">
        <v>45.13</v>
      </c>
      <c r="S857">
        <v>35.43</v>
      </c>
      <c r="T857">
        <v>3812.7</v>
      </c>
      <c r="U857">
        <v>0.79</v>
      </c>
      <c r="V857">
        <v>0.88</v>
      </c>
      <c r="W857">
        <v>2.99</v>
      </c>
      <c r="X857">
        <v>0.24</v>
      </c>
      <c r="Y857">
        <v>1</v>
      </c>
      <c r="Z857">
        <v>10</v>
      </c>
    </row>
    <row r="858" spans="1:26" x14ac:dyDescent="0.3">
      <c r="A858">
        <v>43</v>
      </c>
      <c r="B858">
        <v>130</v>
      </c>
      <c r="C858" t="s">
        <v>26</v>
      </c>
      <c r="D858">
        <v>6.0876999999999999</v>
      </c>
      <c r="E858">
        <v>16.43</v>
      </c>
      <c r="F858">
        <v>12.99</v>
      </c>
      <c r="G858">
        <v>59.94</v>
      </c>
      <c r="H858">
        <v>0.77</v>
      </c>
      <c r="I858">
        <v>13</v>
      </c>
      <c r="J858">
        <v>272.91000000000003</v>
      </c>
      <c r="K858">
        <v>59.19</v>
      </c>
      <c r="L858">
        <v>11.75</v>
      </c>
      <c r="M858">
        <v>11</v>
      </c>
      <c r="N858">
        <v>71.959999999999994</v>
      </c>
      <c r="O858">
        <v>33892.870000000003</v>
      </c>
      <c r="P858">
        <v>182.78</v>
      </c>
      <c r="Q858">
        <v>988.1</v>
      </c>
      <c r="R858">
        <v>44.84</v>
      </c>
      <c r="S858">
        <v>35.43</v>
      </c>
      <c r="T858">
        <v>3664.47</v>
      </c>
      <c r="U858">
        <v>0.79</v>
      </c>
      <c r="V858">
        <v>0.88</v>
      </c>
      <c r="W858">
        <v>2.99</v>
      </c>
      <c r="X858">
        <v>0.23</v>
      </c>
      <c r="Y858">
        <v>1</v>
      </c>
      <c r="Z858">
        <v>10</v>
      </c>
    </row>
    <row r="859" spans="1:26" x14ac:dyDescent="0.3">
      <c r="A859">
        <v>44</v>
      </c>
      <c r="B859">
        <v>130</v>
      </c>
      <c r="C859" t="s">
        <v>26</v>
      </c>
      <c r="D859">
        <v>6.1116999999999999</v>
      </c>
      <c r="E859">
        <v>16.36</v>
      </c>
      <c r="F859">
        <v>12.97</v>
      </c>
      <c r="G859">
        <v>64.849999999999994</v>
      </c>
      <c r="H859">
        <v>0.78</v>
      </c>
      <c r="I859">
        <v>12</v>
      </c>
      <c r="J859">
        <v>273.39</v>
      </c>
      <c r="K859">
        <v>59.19</v>
      </c>
      <c r="L859">
        <v>12</v>
      </c>
      <c r="M859">
        <v>10</v>
      </c>
      <c r="N859">
        <v>72.2</v>
      </c>
      <c r="O859">
        <v>33952.26</v>
      </c>
      <c r="P859">
        <v>181.55</v>
      </c>
      <c r="Q859">
        <v>988.16</v>
      </c>
      <c r="R859">
        <v>44.35</v>
      </c>
      <c r="S859">
        <v>35.43</v>
      </c>
      <c r="T859">
        <v>3427.84</v>
      </c>
      <c r="U859">
        <v>0.8</v>
      </c>
      <c r="V859">
        <v>0.88</v>
      </c>
      <c r="W859">
        <v>2.99</v>
      </c>
      <c r="X859">
        <v>0.22</v>
      </c>
      <c r="Y859">
        <v>1</v>
      </c>
      <c r="Z859">
        <v>10</v>
      </c>
    </row>
    <row r="860" spans="1:26" x14ac:dyDescent="0.3">
      <c r="A860">
        <v>45</v>
      </c>
      <c r="B860">
        <v>130</v>
      </c>
      <c r="C860" t="s">
        <v>26</v>
      </c>
      <c r="D860">
        <v>6.1113</v>
      </c>
      <c r="E860">
        <v>16.36</v>
      </c>
      <c r="F860">
        <v>12.97</v>
      </c>
      <c r="G860">
        <v>64.86</v>
      </c>
      <c r="H860">
        <v>0.8</v>
      </c>
      <c r="I860">
        <v>12</v>
      </c>
      <c r="J860">
        <v>273.87</v>
      </c>
      <c r="K860">
        <v>59.19</v>
      </c>
      <c r="L860">
        <v>12.25</v>
      </c>
      <c r="M860">
        <v>10</v>
      </c>
      <c r="N860">
        <v>72.430000000000007</v>
      </c>
      <c r="O860">
        <v>34011.74</v>
      </c>
      <c r="P860">
        <v>181.09</v>
      </c>
      <c r="Q860">
        <v>988.09</v>
      </c>
      <c r="R860">
        <v>44.61</v>
      </c>
      <c r="S860">
        <v>35.43</v>
      </c>
      <c r="T860">
        <v>3555.8</v>
      </c>
      <c r="U860">
        <v>0.79</v>
      </c>
      <c r="V860">
        <v>0.88</v>
      </c>
      <c r="W860">
        <v>2.98</v>
      </c>
      <c r="X860">
        <v>0.22</v>
      </c>
      <c r="Y860">
        <v>1</v>
      </c>
      <c r="Z860">
        <v>10</v>
      </c>
    </row>
    <row r="861" spans="1:26" x14ac:dyDescent="0.3">
      <c r="A861">
        <v>46</v>
      </c>
      <c r="B861">
        <v>130</v>
      </c>
      <c r="C861" t="s">
        <v>26</v>
      </c>
      <c r="D861">
        <v>6.1151</v>
      </c>
      <c r="E861">
        <v>16.350000000000001</v>
      </c>
      <c r="F861">
        <v>12.96</v>
      </c>
      <c r="G861">
        <v>64.81</v>
      </c>
      <c r="H861">
        <v>0.81</v>
      </c>
      <c r="I861">
        <v>12</v>
      </c>
      <c r="J861">
        <v>274.35000000000002</v>
      </c>
      <c r="K861">
        <v>59.19</v>
      </c>
      <c r="L861">
        <v>12.5</v>
      </c>
      <c r="M861">
        <v>10</v>
      </c>
      <c r="N861">
        <v>72.66</v>
      </c>
      <c r="O861">
        <v>34071.31</v>
      </c>
      <c r="P861">
        <v>180.33</v>
      </c>
      <c r="Q861">
        <v>988.08</v>
      </c>
      <c r="R861">
        <v>44.17</v>
      </c>
      <c r="S861">
        <v>35.43</v>
      </c>
      <c r="T861">
        <v>3335.73</v>
      </c>
      <c r="U861">
        <v>0.8</v>
      </c>
      <c r="V861">
        <v>0.88</v>
      </c>
      <c r="W861">
        <v>2.98</v>
      </c>
      <c r="X861">
        <v>0.21</v>
      </c>
      <c r="Y861">
        <v>1</v>
      </c>
      <c r="Z861">
        <v>10</v>
      </c>
    </row>
    <row r="862" spans="1:26" x14ac:dyDescent="0.3">
      <c r="A862">
        <v>47</v>
      </c>
      <c r="B862">
        <v>130</v>
      </c>
      <c r="C862" t="s">
        <v>26</v>
      </c>
      <c r="D862">
        <v>6.1131000000000002</v>
      </c>
      <c r="E862">
        <v>16.36</v>
      </c>
      <c r="F862">
        <v>12.97</v>
      </c>
      <c r="G862">
        <v>64.83</v>
      </c>
      <c r="H862">
        <v>0.83</v>
      </c>
      <c r="I862">
        <v>12</v>
      </c>
      <c r="J862">
        <v>274.83999999999997</v>
      </c>
      <c r="K862">
        <v>59.19</v>
      </c>
      <c r="L862">
        <v>12.75</v>
      </c>
      <c r="M862">
        <v>10</v>
      </c>
      <c r="N862">
        <v>72.89</v>
      </c>
      <c r="O862">
        <v>34130.980000000003</v>
      </c>
      <c r="P862">
        <v>179.41</v>
      </c>
      <c r="Q862">
        <v>988.26</v>
      </c>
      <c r="R862">
        <v>44.31</v>
      </c>
      <c r="S862">
        <v>35.43</v>
      </c>
      <c r="T862">
        <v>3403.59</v>
      </c>
      <c r="U862">
        <v>0.8</v>
      </c>
      <c r="V862">
        <v>0.88</v>
      </c>
      <c r="W862">
        <v>2.98</v>
      </c>
      <c r="X862">
        <v>0.21</v>
      </c>
      <c r="Y862">
        <v>1</v>
      </c>
      <c r="Z862">
        <v>10</v>
      </c>
    </row>
    <row r="863" spans="1:26" x14ac:dyDescent="0.3">
      <c r="A863">
        <v>48</v>
      </c>
      <c r="B863">
        <v>130</v>
      </c>
      <c r="C863" t="s">
        <v>26</v>
      </c>
      <c r="D863">
        <v>6.1349</v>
      </c>
      <c r="E863">
        <v>16.3</v>
      </c>
      <c r="F863">
        <v>12.96</v>
      </c>
      <c r="G863">
        <v>70.680000000000007</v>
      </c>
      <c r="H863">
        <v>0.84</v>
      </c>
      <c r="I863">
        <v>11</v>
      </c>
      <c r="J863">
        <v>275.32</v>
      </c>
      <c r="K863">
        <v>59.19</v>
      </c>
      <c r="L863">
        <v>13</v>
      </c>
      <c r="M863">
        <v>9</v>
      </c>
      <c r="N863">
        <v>73.13</v>
      </c>
      <c r="O863">
        <v>34190.730000000003</v>
      </c>
      <c r="P863">
        <v>178.59</v>
      </c>
      <c r="Q863">
        <v>988.08</v>
      </c>
      <c r="R863">
        <v>44.19</v>
      </c>
      <c r="S863">
        <v>35.43</v>
      </c>
      <c r="T863">
        <v>3350.37</v>
      </c>
      <c r="U863">
        <v>0.8</v>
      </c>
      <c r="V863">
        <v>0.88</v>
      </c>
      <c r="W863">
        <v>2.98</v>
      </c>
      <c r="X863">
        <v>0.2</v>
      </c>
      <c r="Y863">
        <v>1</v>
      </c>
      <c r="Z863">
        <v>10</v>
      </c>
    </row>
    <row r="864" spans="1:26" x14ac:dyDescent="0.3">
      <c r="A864">
        <v>49</v>
      </c>
      <c r="B864">
        <v>130</v>
      </c>
      <c r="C864" t="s">
        <v>26</v>
      </c>
      <c r="D864">
        <v>6.1375000000000002</v>
      </c>
      <c r="E864">
        <v>16.29</v>
      </c>
      <c r="F864">
        <v>12.95</v>
      </c>
      <c r="G864">
        <v>70.64</v>
      </c>
      <c r="H864">
        <v>0.86</v>
      </c>
      <c r="I864">
        <v>11</v>
      </c>
      <c r="J864">
        <v>275.81</v>
      </c>
      <c r="K864">
        <v>59.19</v>
      </c>
      <c r="L864">
        <v>13.25</v>
      </c>
      <c r="M864">
        <v>9</v>
      </c>
      <c r="N864">
        <v>73.36</v>
      </c>
      <c r="O864">
        <v>34250.57</v>
      </c>
      <c r="P864">
        <v>178.01</v>
      </c>
      <c r="Q864">
        <v>988.15</v>
      </c>
      <c r="R864">
        <v>43.78</v>
      </c>
      <c r="S864">
        <v>35.43</v>
      </c>
      <c r="T864">
        <v>3148.05</v>
      </c>
      <c r="U864">
        <v>0.81</v>
      </c>
      <c r="V864">
        <v>0.88</v>
      </c>
      <c r="W864">
        <v>2.98</v>
      </c>
      <c r="X864">
        <v>0.2</v>
      </c>
      <c r="Y864">
        <v>1</v>
      </c>
      <c r="Z864">
        <v>10</v>
      </c>
    </row>
    <row r="865" spans="1:26" x14ac:dyDescent="0.3">
      <c r="A865">
        <v>50</v>
      </c>
      <c r="B865">
        <v>130</v>
      </c>
      <c r="C865" t="s">
        <v>26</v>
      </c>
      <c r="D865">
        <v>6.1360000000000001</v>
      </c>
      <c r="E865">
        <v>16.3</v>
      </c>
      <c r="F865">
        <v>12.95</v>
      </c>
      <c r="G865">
        <v>70.66</v>
      </c>
      <c r="H865">
        <v>0.87</v>
      </c>
      <c r="I865">
        <v>11</v>
      </c>
      <c r="J865">
        <v>276.29000000000002</v>
      </c>
      <c r="K865">
        <v>59.19</v>
      </c>
      <c r="L865">
        <v>13.5</v>
      </c>
      <c r="M865">
        <v>9</v>
      </c>
      <c r="N865">
        <v>73.599999999999994</v>
      </c>
      <c r="O865">
        <v>34310.51</v>
      </c>
      <c r="P865">
        <v>177.06</v>
      </c>
      <c r="Q865">
        <v>988.19</v>
      </c>
      <c r="R865">
        <v>43.92</v>
      </c>
      <c r="S865">
        <v>35.43</v>
      </c>
      <c r="T865">
        <v>3217.15</v>
      </c>
      <c r="U865">
        <v>0.81</v>
      </c>
      <c r="V865">
        <v>0.88</v>
      </c>
      <c r="W865">
        <v>2.98</v>
      </c>
      <c r="X865">
        <v>0.2</v>
      </c>
      <c r="Y865">
        <v>1</v>
      </c>
      <c r="Z865">
        <v>10</v>
      </c>
    </row>
    <row r="866" spans="1:26" x14ac:dyDescent="0.3">
      <c r="A866">
        <v>51</v>
      </c>
      <c r="B866">
        <v>130</v>
      </c>
      <c r="C866" t="s">
        <v>26</v>
      </c>
      <c r="D866">
        <v>6.1394000000000002</v>
      </c>
      <c r="E866">
        <v>16.29</v>
      </c>
      <c r="F866">
        <v>12.95</v>
      </c>
      <c r="G866">
        <v>70.61</v>
      </c>
      <c r="H866">
        <v>0.88</v>
      </c>
      <c r="I866">
        <v>11</v>
      </c>
      <c r="J866">
        <v>276.77999999999997</v>
      </c>
      <c r="K866">
        <v>59.19</v>
      </c>
      <c r="L866">
        <v>13.75</v>
      </c>
      <c r="M866">
        <v>9</v>
      </c>
      <c r="N866">
        <v>73.84</v>
      </c>
      <c r="O866">
        <v>34370.54</v>
      </c>
      <c r="P866">
        <v>174.85</v>
      </c>
      <c r="Q866">
        <v>988.1</v>
      </c>
      <c r="R866">
        <v>43.82</v>
      </c>
      <c r="S866">
        <v>35.43</v>
      </c>
      <c r="T866">
        <v>3164.2</v>
      </c>
      <c r="U866">
        <v>0.81</v>
      </c>
      <c r="V866">
        <v>0.88</v>
      </c>
      <c r="W866">
        <v>2.98</v>
      </c>
      <c r="X866">
        <v>0.19</v>
      </c>
      <c r="Y866">
        <v>1</v>
      </c>
      <c r="Z866">
        <v>10</v>
      </c>
    </row>
    <row r="867" spans="1:26" x14ac:dyDescent="0.3">
      <c r="A867">
        <v>52</v>
      </c>
      <c r="B867">
        <v>130</v>
      </c>
      <c r="C867" t="s">
        <v>26</v>
      </c>
      <c r="D867">
        <v>6.1646999999999998</v>
      </c>
      <c r="E867">
        <v>16.22</v>
      </c>
      <c r="F867">
        <v>12.93</v>
      </c>
      <c r="G867">
        <v>77.56</v>
      </c>
      <c r="H867">
        <v>0.9</v>
      </c>
      <c r="I867">
        <v>10</v>
      </c>
      <c r="J867">
        <v>277.27</v>
      </c>
      <c r="K867">
        <v>59.19</v>
      </c>
      <c r="L867">
        <v>14</v>
      </c>
      <c r="M867">
        <v>8</v>
      </c>
      <c r="N867">
        <v>74.069999999999993</v>
      </c>
      <c r="O867">
        <v>34430.660000000003</v>
      </c>
      <c r="P867">
        <v>173.84</v>
      </c>
      <c r="Q867">
        <v>988.08</v>
      </c>
      <c r="R867">
        <v>43.09</v>
      </c>
      <c r="S867">
        <v>35.43</v>
      </c>
      <c r="T867">
        <v>2808.03</v>
      </c>
      <c r="U867">
        <v>0.82</v>
      </c>
      <c r="V867">
        <v>0.88</v>
      </c>
      <c r="W867">
        <v>2.98</v>
      </c>
      <c r="X867">
        <v>0.17</v>
      </c>
      <c r="Y867">
        <v>1</v>
      </c>
      <c r="Z867">
        <v>10</v>
      </c>
    </row>
    <row r="868" spans="1:26" x14ac:dyDescent="0.3">
      <c r="A868">
        <v>53</v>
      </c>
      <c r="B868">
        <v>130</v>
      </c>
      <c r="C868" t="s">
        <v>26</v>
      </c>
      <c r="D868">
        <v>6.1653000000000002</v>
      </c>
      <c r="E868">
        <v>16.22</v>
      </c>
      <c r="F868">
        <v>12.93</v>
      </c>
      <c r="G868">
        <v>77.56</v>
      </c>
      <c r="H868">
        <v>0.91</v>
      </c>
      <c r="I868">
        <v>10</v>
      </c>
      <c r="J868">
        <v>277.76</v>
      </c>
      <c r="K868">
        <v>59.19</v>
      </c>
      <c r="L868">
        <v>14.25</v>
      </c>
      <c r="M868">
        <v>8</v>
      </c>
      <c r="N868">
        <v>74.31</v>
      </c>
      <c r="O868">
        <v>34490.870000000003</v>
      </c>
      <c r="P868">
        <v>172.63</v>
      </c>
      <c r="Q868">
        <v>988.08</v>
      </c>
      <c r="R868">
        <v>43.04</v>
      </c>
      <c r="S868">
        <v>35.43</v>
      </c>
      <c r="T868">
        <v>2780.88</v>
      </c>
      <c r="U868">
        <v>0.82</v>
      </c>
      <c r="V868">
        <v>0.88</v>
      </c>
      <c r="W868">
        <v>2.98</v>
      </c>
      <c r="X868">
        <v>0.17</v>
      </c>
      <c r="Y868">
        <v>1</v>
      </c>
      <c r="Z868">
        <v>10</v>
      </c>
    </row>
    <row r="869" spans="1:26" x14ac:dyDescent="0.3">
      <c r="A869">
        <v>54</v>
      </c>
      <c r="B869">
        <v>130</v>
      </c>
      <c r="C869" t="s">
        <v>26</v>
      </c>
      <c r="D869">
        <v>6.1616</v>
      </c>
      <c r="E869">
        <v>16.23</v>
      </c>
      <c r="F869">
        <v>12.94</v>
      </c>
      <c r="G869">
        <v>77.61</v>
      </c>
      <c r="H869">
        <v>0.93</v>
      </c>
      <c r="I869">
        <v>10</v>
      </c>
      <c r="J869">
        <v>278.25</v>
      </c>
      <c r="K869">
        <v>59.19</v>
      </c>
      <c r="L869">
        <v>14.5</v>
      </c>
      <c r="M869">
        <v>8</v>
      </c>
      <c r="N869">
        <v>74.55</v>
      </c>
      <c r="O869">
        <v>34551.18</v>
      </c>
      <c r="P869">
        <v>172.3</v>
      </c>
      <c r="Q869">
        <v>988.08</v>
      </c>
      <c r="R869">
        <v>43.36</v>
      </c>
      <c r="S869">
        <v>35.43</v>
      </c>
      <c r="T869">
        <v>2941.41</v>
      </c>
      <c r="U869">
        <v>0.82</v>
      </c>
      <c r="V869">
        <v>0.88</v>
      </c>
      <c r="W869">
        <v>2.98</v>
      </c>
      <c r="X869">
        <v>0.18</v>
      </c>
      <c r="Y869">
        <v>1</v>
      </c>
      <c r="Z869">
        <v>10</v>
      </c>
    </row>
    <row r="870" spans="1:26" x14ac:dyDescent="0.3">
      <c r="A870">
        <v>55</v>
      </c>
      <c r="B870">
        <v>130</v>
      </c>
      <c r="C870" t="s">
        <v>26</v>
      </c>
      <c r="D870">
        <v>6.1634000000000002</v>
      </c>
      <c r="E870">
        <v>16.22</v>
      </c>
      <c r="F870">
        <v>12.93</v>
      </c>
      <c r="G870">
        <v>77.59</v>
      </c>
      <c r="H870">
        <v>0.94</v>
      </c>
      <c r="I870">
        <v>10</v>
      </c>
      <c r="J870">
        <v>278.74</v>
      </c>
      <c r="K870">
        <v>59.19</v>
      </c>
      <c r="L870">
        <v>14.75</v>
      </c>
      <c r="M870">
        <v>8</v>
      </c>
      <c r="N870">
        <v>74.790000000000006</v>
      </c>
      <c r="O870">
        <v>34611.589999999997</v>
      </c>
      <c r="P870">
        <v>171.46</v>
      </c>
      <c r="Q870">
        <v>988.12</v>
      </c>
      <c r="R870">
        <v>43.23</v>
      </c>
      <c r="S870">
        <v>35.43</v>
      </c>
      <c r="T870">
        <v>2874.64</v>
      </c>
      <c r="U870">
        <v>0.82</v>
      </c>
      <c r="V870">
        <v>0.88</v>
      </c>
      <c r="W870">
        <v>2.98</v>
      </c>
      <c r="X870">
        <v>0.18</v>
      </c>
      <c r="Y870">
        <v>1</v>
      </c>
      <c r="Z870">
        <v>10</v>
      </c>
    </row>
    <row r="871" spans="1:26" x14ac:dyDescent="0.3">
      <c r="A871">
        <v>56</v>
      </c>
      <c r="B871">
        <v>130</v>
      </c>
      <c r="C871" t="s">
        <v>26</v>
      </c>
      <c r="D871">
        <v>6.1641000000000004</v>
      </c>
      <c r="E871">
        <v>16.22</v>
      </c>
      <c r="F871">
        <v>12.93</v>
      </c>
      <c r="G871">
        <v>77.58</v>
      </c>
      <c r="H871">
        <v>0.96</v>
      </c>
      <c r="I871">
        <v>10</v>
      </c>
      <c r="J871">
        <v>279.23</v>
      </c>
      <c r="K871">
        <v>59.19</v>
      </c>
      <c r="L871">
        <v>15</v>
      </c>
      <c r="M871">
        <v>6</v>
      </c>
      <c r="N871">
        <v>75.03</v>
      </c>
      <c r="O871">
        <v>34672.080000000002</v>
      </c>
      <c r="P871">
        <v>170.64</v>
      </c>
      <c r="Q871">
        <v>988.08</v>
      </c>
      <c r="R871">
        <v>43.14</v>
      </c>
      <c r="S871">
        <v>35.43</v>
      </c>
      <c r="T871">
        <v>2833.23</v>
      </c>
      <c r="U871">
        <v>0.82</v>
      </c>
      <c r="V871">
        <v>0.88</v>
      </c>
      <c r="W871">
        <v>2.98</v>
      </c>
      <c r="X871">
        <v>0.18</v>
      </c>
      <c r="Y871">
        <v>1</v>
      </c>
      <c r="Z871">
        <v>10</v>
      </c>
    </row>
    <row r="872" spans="1:26" x14ac:dyDescent="0.3">
      <c r="A872">
        <v>57</v>
      </c>
      <c r="B872">
        <v>130</v>
      </c>
      <c r="C872" t="s">
        <v>26</v>
      </c>
      <c r="D872">
        <v>6.1858000000000004</v>
      </c>
      <c r="E872">
        <v>16.170000000000002</v>
      </c>
      <c r="F872">
        <v>12.92</v>
      </c>
      <c r="G872">
        <v>86.14</v>
      </c>
      <c r="H872">
        <v>0.97</v>
      </c>
      <c r="I872">
        <v>9</v>
      </c>
      <c r="J872">
        <v>279.72000000000003</v>
      </c>
      <c r="K872">
        <v>59.19</v>
      </c>
      <c r="L872">
        <v>15.25</v>
      </c>
      <c r="M872">
        <v>4</v>
      </c>
      <c r="N872">
        <v>75.27</v>
      </c>
      <c r="O872">
        <v>34732.68</v>
      </c>
      <c r="P872">
        <v>169</v>
      </c>
      <c r="Q872">
        <v>988.11</v>
      </c>
      <c r="R872">
        <v>42.82</v>
      </c>
      <c r="S872">
        <v>35.43</v>
      </c>
      <c r="T872">
        <v>2674.97</v>
      </c>
      <c r="U872">
        <v>0.83</v>
      </c>
      <c r="V872">
        <v>0.88</v>
      </c>
      <c r="W872">
        <v>2.98</v>
      </c>
      <c r="X872">
        <v>0.17</v>
      </c>
      <c r="Y872">
        <v>1</v>
      </c>
      <c r="Z872">
        <v>10</v>
      </c>
    </row>
    <row r="873" spans="1:26" x14ac:dyDescent="0.3">
      <c r="A873">
        <v>58</v>
      </c>
      <c r="B873">
        <v>130</v>
      </c>
      <c r="C873" t="s">
        <v>26</v>
      </c>
      <c r="D873">
        <v>6.1864999999999997</v>
      </c>
      <c r="E873">
        <v>16.16</v>
      </c>
      <c r="F873">
        <v>12.92</v>
      </c>
      <c r="G873">
        <v>86.13</v>
      </c>
      <c r="H873">
        <v>0.98</v>
      </c>
      <c r="I873">
        <v>9</v>
      </c>
      <c r="J873">
        <v>280.20999999999998</v>
      </c>
      <c r="K873">
        <v>59.19</v>
      </c>
      <c r="L873">
        <v>15.5</v>
      </c>
      <c r="M873">
        <v>4</v>
      </c>
      <c r="N873">
        <v>75.52</v>
      </c>
      <c r="O873">
        <v>34793.360000000001</v>
      </c>
      <c r="P873">
        <v>169.34</v>
      </c>
      <c r="Q873">
        <v>988.18</v>
      </c>
      <c r="R873">
        <v>42.78</v>
      </c>
      <c r="S873">
        <v>35.43</v>
      </c>
      <c r="T873">
        <v>2657.37</v>
      </c>
      <c r="U873">
        <v>0.83</v>
      </c>
      <c r="V873">
        <v>0.88</v>
      </c>
      <c r="W873">
        <v>2.98</v>
      </c>
      <c r="X873">
        <v>0.17</v>
      </c>
      <c r="Y873">
        <v>1</v>
      </c>
      <c r="Z873">
        <v>10</v>
      </c>
    </row>
    <row r="874" spans="1:26" x14ac:dyDescent="0.3">
      <c r="A874">
        <v>59</v>
      </c>
      <c r="B874">
        <v>130</v>
      </c>
      <c r="C874" t="s">
        <v>26</v>
      </c>
      <c r="D874">
        <v>6.1874000000000002</v>
      </c>
      <c r="E874">
        <v>16.16</v>
      </c>
      <c r="F874">
        <v>12.92</v>
      </c>
      <c r="G874">
        <v>86.11</v>
      </c>
      <c r="H874">
        <v>1</v>
      </c>
      <c r="I874">
        <v>9</v>
      </c>
      <c r="J874">
        <v>280.7</v>
      </c>
      <c r="K874">
        <v>59.19</v>
      </c>
      <c r="L874">
        <v>15.75</v>
      </c>
      <c r="M874">
        <v>3</v>
      </c>
      <c r="N874">
        <v>75.760000000000005</v>
      </c>
      <c r="O874">
        <v>34854.15</v>
      </c>
      <c r="P874">
        <v>169.65</v>
      </c>
      <c r="Q874">
        <v>988.1</v>
      </c>
      <c r="R874">
        <v>42.67</v>
      </c>
      <c r="S874">
        <v>35.43</v>
      </c>
      <c r="T874">
        <v>2602.59</v>
      </c>
      <c r="U874">
        <v>0.83</v>
      </c>
      <c r="V874">
        <v>0.88</v>
      </c>
      <c r="W874">
        <v>2.98</v>
      </c>
      <c r="X874">
        <v>0.16</v>
      </c>
      <c r="Y874">
        <v>1</v>
      </c>
      <c r="Z874">
        <v>10</v>
      </c>
    </row>
    <row r="875" spans="1:26" x14ac:dyDescent="0.3">
      <c r="A875">
        <v>60</v>
      </c>
      <c r="B875">
        <v>130</v>
      </c>
      <c r="C875" t="s">
        <v>26</v>
      </c>
      <c r="D875">
        <v>6.1862000000000004</v>
      </c>
      <c r="E875">
        <v>16.16</v>
      </c>
      <c r="F875">
        <v>12.92</v>
      </c>
      <c r="G875">
        <v>86.13</v>
      </c>
      <c r="H875">
        <v>1.01</v>
      </c>
      <c r="I875">
        <v>9</v>
      </c>
      <c r="J875">
        <v>281.2</v>
      </c>
      <c r="K875">
        <v>59.19</v>
      </c>
      <c r="L875">
        <v>16</v>
      </c>
      <c r="M875">
        <v>1</v>
      </c>
      <c r="N875">
        <v>76</v>
      </c>
      <c r="O875">
        <v>34915.03</v>
      </c>
      <c r="P875">
        <v>169.71</v>
      </c>
      <c r="Q875">
        <v>988.09</v>
      </c>
      <c r="R875">
        <v>42.78</v>
      </c>
      <c r="S875">
        <v>35.43</v>
      </c>
      <c r="T875">
        <v>2657.19</v>
      </c>
      <c r="U875">
        <v>0.83</v>
      </c>
      <c r="V875">
        <v>0.88</v>
      </c>
      <c r="W875">
        <v>2.98</v>
      </c>
      <c r="X875">
        <v>0.17</v>
      </c>
      <c r="Y875">
        <v>1</v>
      </c>
      <c r="Z875">
        <v>10</v>
      </c>
    </row>
    <row r="876" spans="1:26" x14ac:dyDescent="0.3">
      <c r="A876">
        <v>61</v>
      </c>
      <c r="B876">
        <v>130</v>
      </c>
      <c r="C876" t="s">
        <v>26</v>
      </c>
      <c r="D876">
        <v>6.1864999999999997</v>
      </c>
      <c r="E876">
        <v>16.16</v>
      </c>
      <c r="F876">
        <v>12.92</v>
      </c>
      <c r="G876">
        <v>86.13</v>
      </c>
      <c r="H876">
        <v>1.03</v>
      </c>
      <c r="I876">
        <v>9</v>
      </c>
      <c r="J876">
        <v>281.69</v>
      </c>
      <c r="K876">
        <v>59.19</v>
      </c>
      <c r="L876">
        <v>16.25</v>
      </c>
      <c r="M876">
        <v>0</v>
      </c>
      <c r="N876">
        <v>76.25</v>
      </c>
      <c r="O876">
        <v>34976</v>
      </c>
      <c r="P876">
        <v>170.01</v>
      </c>
      <c r="Q876">
        <v>988.13</v>
      </c>
      <c r="R876">
        <v>42.68</v>
      </c>
      <c r="S876">
        <v>35.43</v>
      </c>
      <c r="T876">
        <v>2606.52</v>
      </c>
      <c r="U876">
        <v>0.83</v>
      </c>
      <c r="V876">
        <v>0.88</v>
      </c>
      <c r="W876">
        <v>2.99</v>
      </c>
      <c r="X876">
        <v>0.17</v>
      </c>
      <c r="Y876">
        <v>1</v>
      </c>
      <c r="Z876">
        <v>10</v>
      </c>
    </row>
    <row r="877" spans="1:26" x14ac:dyDescent="0.3">
      <c r="A877">
        <v>0</v>
      </c>
      <c r="B877">
        <v>75</v>
      </c>
      <c r="C877" t="s">
        <v>26</v>
      </c>
      <c r="D877">
        <v>4.6223000000000001</v>
      </c>
      <c r="E877">
        <v>21.63</v>
      </c>
      <c r="F877">
        <v>15.39</v>
      </c>
      <c r="G877">
        <v>7.1</v>
      </c>
      <c r="H877">
        <v>0.12</v>
      </c>
      <c r="I877">
        <v>130</v>
      </c>
      <c r="J877">
        <v>150.44</v>
      </c>
      <c r="K877">
        <v>49.1</v>
      </c>
      <c r="L877">
        <v>1</v>
      </c>
      <c r="M877">
        <v>128</v>
      </c>
      <c r="N877">
        <v>25.34</v>
      </c>
      <c r="O877">
        <v>18787.759999999998</v>
      </c>
      <c r="P877">
        <v>179.37</v>
      </c>
      <c r="Q877">
        <v>988.3</v>
      </c>
      <c r="R877">
        <v>119.69</v>
      </c>
      <c r="S877">
        <v>35.43</v>
      </c>
      <c r="T877">
        <v>40504.54</v>
      </c>
      <c r="U877">
        <v>0.3</v>
      </c>
      <c r="V877">
        <v>0.74</v>
      </c>
      <c r="W877">
        <v>3.18</v>
      </c>
      <c r="X877">
        <v>2.63</v>
      </c>
      <c r="Y877">
        <v>1</v>
      </c>
      <c r="Z877">
        <v>10</v>
      </c>
    </row>
    <row r="878" spans="1:26" x14ac:dyDescent="0.3">
      <c r="A878">
        <v>1</v>
      </c>
      <c r="B878">
        <v>75</v>
      </c>
      <c r="C878" t="s">
        <v>26</v>
      </c>
      <c r="D878">
        <v>4.9904000000000002</v>
      </c>
      <c r="E878">
        <v>20.04</v>
      </c>
      <c r="F878">
        <v>14.74</v>
      </c>
      <c r="G878">
        <v>8.93</v>
      </c>
      <c r="H878">
        <v>0.15</v>
      </c>
      <c r="I878">
        <v>99</v>
      </c>
      <c r="J878">
        <v>150.78</v>
      </c>
      <c r="K878">
        <v>49.1</v>
      </c>
      <c r="L878">
        <v>1.25</v>
      </c>
      <c r="M878">
        <v>97</v>
      </c>
      <c r="N878">
        <v>25.44</v>
      </c>
      <c r="O878">
        <v>18830.650000000001</v>
      </c>
      <c r="P878">
        <v>170.53</v>
      </c>
      <c r="Q878">
        <v>988.22</v>
      </c>
      <c r="R878">
        <v>99.36</v>
      </c>
      <c r="S878">
        <v>35.43</v>
      </c>
      <c r="T878">
        <v>30495.58</v>
      </c>
      <c r="U878">
        <v>0.36</v>
      </c>
      <c r="V878">
        <v>0.77</v>
      </c>
      <c r="W878">
        <v>3.13</v>
      </c>
      <c r="X878">
        <v>1.98</v>
      </c>
      <c r="Y878">
        <v>1</v>
      </c>
      <c r="Z878">
        <v>10</v>
      </c>
    </row>
    <row r="879" spans="1:26" x14ac:dyDescent="0.3">
      <c r="A879">
        <v>2</v>
      </c>
      <c r="B879">
        <v>75</v>
      </c>
      <c r="C879" t="s">
        <v>26</v>
      </c>
      <c r="D879">
        <v>5.2483000000000004</v>
      </c>
      <c r="E879">
        <v>19.05</v>
      </c>
      <c r="F879">
        <v>14.33</v>
      </c>
      <c r="G879">
        <v>10.75</v>
      </c>
      <c r="H879">
        <v>0.18</v>
      </c>
      <c r="I879">
        <v>80</v>
      </c>
      <c r="J879">
        <v>151.13</v>
      </c>
      <c r="K879">
        <v>49.1</v>
      </c>
      <c r="L879">
        <v>1.5</v>
      </c>
      <c r="M879">
        <v>78</v>
      </c>
      <c r="N879">
        <v>25.54</v>
      </c>
      <c r="O879">
        <v>18873.580000000002</v>
      </c>
      <c r="P879">
        <v>164.5</v>
      </c>
      <c r="Q879">
        <v>988.31</v>
      </c>
      <c r="R879">
        <v>87.08</v>
      </c>
      <c r="S879">
        <v>35.43</v>
      </c>
      <c r="T879">
        <v>24450.68</v>
      </c>
      <c r="U879">
        <v>0.41</v>
      </c>
      <c r="V879">
        <v>0.8</v>
      </c>
      <c r="W879">
        <v>3.09</v>
      </c>
      <c r="X879">
        <v>1.58</v>
      </c>
      <c r="Y879">
        <v>1</v>
      </c>
      <c r="Z879">
        <v>10</v>
      </c>
    </row>
    <row r="880" spans="1:26" x14ac:dyDescent="0.3">
      <c r="A880">
        <v>3</v>
      </c>
      <c r="B880">
        <v>75</v>
      </c>
      <c r="C880" t="s">
        <v>26</v>
      </c>
      <c r="D880">
        <v>5.4278000000000004</v>
      </c>
      <c r="E880">
        <v>18.420000000000002</v>
      </c>
      <c r="F880">
        <v>14.1</v>
      </c>
      <c r="G880">
        <v>12.63</v>
      </c>
      <c r="H880">
        <v>0.2</v>
      </c>
      <c r="I880">
        <v>67</v>
      </c>
      <c r="J880">
        <v>151.47999999999999</v>
      </c>
      <c r="K880">
        <v>49.1</v>
      </c>
      <c r="L880">
        <v>1.75</v>
      </c>
      <c r="M880">
        <v>65</v>
      </c>
      <c r="N880">
        <v>25.64</v>
      </c>
      <c r="O880">
        <v>18916.54</v>
      </c>
      <c r="P880">
        <v>160.51</v>
      </c>
      <c r="Q880">
        <v>988.46</v>
      </c>
      <c r="R880">
        <v>79.28</v>
      </c>
      <c r="S880">
        <v>35.43</v>
      </c>
      <c r="T880">
        <v>20614.669999999998</v>
      </c>
      <c r="U880">
        <v>0.45</v>
      </c>
      <c r="V880">
        <v>0.81</v>
      </c>
      <c r="W880">
        <v>3.08</v>
      </c>
      <c r="X880">
        <v>1.34</v>
      </c>
      <c r="Y880">
        <v>1</v>
      </c>
      <c r="Z880">
        <v>10</v>
      </c>
    </row>
    <row r="881" spans="1:26" x14ac:dyDescent="0.3">
      <c r="A881">
        <v>4</v>
      </c>
      <c r="B881">
        <v>75</v>
      </c>
      <c r="C881" t="s">
        <v>26</v>
      </c>
      <c r="D881">
        <v>5.5697000000000001</v>
      </c>
      <c r="E881">
        <v>17.95</v>
      </c>
      <c r="F881">
        <v>13.91</v>
      </c>
      <c r="G881">
        <v>14.39</v>
      </c>
      <c r="H881">
        <v>0.23</v>
      </c>
      <c r="I881">
        <v>58</v>
      </c>
      <c r="J881">
        <v>151.83000000000001</v>
      </c>
      <c r="K881">
        <v>49.1</v>
      </c>
      <c r="L881">
        <v>2</v>
      </c>
      <c r="M881">
        <v>56</v>
      </c>
      <c r="N881">
        <v>25.73</v>
      </c>
      <c r="O881">
        <v>18959.54</v>
      </c>
      <c r="P881">
        <v>156.9</v>
      </c>
      <c r="Q881">
        <v>988.3</v>
      </c>
      <c r="R881">
        <v>73.41</v>
      </c>
      <c r="S881">
        <v>35.43</v>
      </c>
      <c r="T881">
        <v>17725.89</v>
      </c>
      <c r="U881">
        <v>0.48</v>
      </c>
      <c r="V881">
        <v>0.82</v>
      </c>
      <c r="W881">
        <v>3.06</v>
      </c>
      <c r="X881">
        <v>1.1499999999999999</v>
      </c>
      <c r="Y881">
        <v>1</v>
      </c>
      <c r="Z881">
        <v>10</v>
      </c>
    </row>
    <row r="882" spans="1:26" x14ac:dyDescent="0.3">
      <c r="A882">
        <v>5</v>
      </c>
      <c r="B882">
        <v>75</v>
      </c>
      <c r="C882" t="s">
        <v>26</v>
      </c>
      <c r="D882">
        <v>5.6917999999999997</v>
      </c>
      <c r="E882">
        <v>17.57</v>
      </c>
      <c r="F882">
        <v>13.77</v>
      </c>
      <c r="G882">
        <v>16.52</v>
      </c>
      <c r="H882">
        <v>0.26</v>
      </c>
      <c r="I882">
        <v>50</v>
      </c>
      <c r="J882">
        <v>152.18</v>
      </c>
      <c r="K882">
        <v>49.1</v>
      </c>
      <c r="L882">
        <v>2.25</v>
      </c>
      <c r="M882">
        <v>48</v>
      </c>
      <c r="N882">
        <v>25.83</v>
      </c>
      <c r="O882">
        <v>19002.560000000001</v>
      </c>
      <c r="P882">
        <v>154.03</v>
      </c>
      <c r="Q882">
        <v>988.3</v>
      </c>
      <c r="R882">
        <v>68.900000000000006</v>
      </c>
      <c r="S882">
        <v>35.43</v>
      </c>
      <c r="T882">
        <v>15513.45</v>
      </c>
      <c r="U882">
        <v>0.51</v>
      </c>
      <c r="V882">
        <v>0.83</v>
      </c>
      <c r="W882">
        <v>3.06</v>
      </c>
      <c r="X882">
        <v>1.01</v>
      </c>
      <c r="Y882">
        <v>1</v>
      </c>
      <c r="Z882">
        <v>10</v>
      </c>
    </row>
    <row r="883" spans="1:26" x14ac:dyDescent="0.3">
      <c r="A883">
        <v>6</v>
      </c>
      <c r="B883">
        <v>75</v>
      </c>
      <c r="C883" t="s">
        <v>26</v>
      </c>
      <c r="D883">
        <v>5.7850000000000001</v>
      </c>
      <c r="E883">
        <v>17.29</v>
      </c>
      <c r="F883">
        <v>13.63</v>
      </c>
      <c r="G883">
        <v>18.18</v>
      </c>
      <c r="H883">
        <v>0.28999999999999998</v>
      </c>
      <c r="I883">
        <v>45</v>
      </c>
      <c r="J883">
        <v>152.53</v>
      </c>
      <c r="K883">
        <v>49.1</v>
      </c>
      <c r="L883">
        <v>2.5</v>
      </c>
      <c r="M883">
        <v>43</v>
      </c>
      <c r="N883">
        <v>25.93</v>
      </c>
      <c r="O883">
        <v>19045.63</v>
      </c>
      <c r="P883">
        <v>151.11000000000001</v>
      </c>
      <c r="Q883">
        <v>988.12</v>
      </c>
      <c r="R883">
        <v>65.13</v>
      </c>
      <c r="S883">
        <v>35.43</v>
      </c>
      <c r="T883">
        <v>13652.51</v>
      </c>
      <c r="U883">
        <v>0.54</v>
      </c>
      <c r="V883">
        <v>0.84</v>
      </c>
      <c r="W883">
        <v>3.04</v>
      </c>
      <c r="X883">
        <v>0.88</v>
      </c>
      <c r="Y883">
        <v>1</v>
      </c>
      <c r="Z883">
        <v>10</v>
      </c>
    </row>
    <row r="884" spans="1:26" x14ac:dyDescent="0.3">
      <c r="A884">
        <v>7</v>
      </c>
      <c r="B884">
        <v>75</v>
      </c>
      <c r="C884" t="s">
        <v>26</v>
      </c>
      <c r="D884">
        <v>5.8728999999999996</v>
      </c>
      <c r="E884">
        <v>17.03</v>
      </c>
      <c r="F884">
        <v>13.53</v>
      </c>
      <c r="G884">
        <v>20.29</v>
      </c>
      <c r="H884">
        <v>0.32</v>
      </c>
      <c r="I884">
        <v>40</v>
      </c>
      <c r="J884">
        <v>152.88</v>
      </c>
      <c r="K884">
        <v>49.1</v>
      </c>
      <c r="L884">
        <v>2.75</v>
      </c>
      <c r="M884">
        <v>38</v>
      </c>
      <c r="N884">
        <v>26.03</v>
      </c>
      <c r="O884">
        <v>19088.72</v>
      </c>
      <c r="P884">
        <v>148.61000000000001</v>
      </c>
      <c r="Q884">
        <v>988.2</v>
      </c>
      <c r="R884">
        <v>61.76</v>
      </c>
      <c r="S884">
        <v>35.43</v>
      </c>
      <c r="T884">
        <v>11989.68</v>
      </c>
      <c r="U884">
        <v>0.56999999999999995</v>
      </c>
      <c r="V884">
        <v>0.84</v>
      </c>
      <c r="W884">
        <v>3.03</v>
      </c>
      <c r="X884">
        <v>0.77</v>
      </c>
      <c r="Y884">
        <v>1</v>
      </c>
      <c r="Z884">
        <v>10</v>
      </c>
    </row>
    <row r="885" spans="1:26" x14ac:dyDescent="0.3">
      <c r="A885">
        <v>8</v>
      </c>
      <c r="B885">
        <v>75</v>
      </c>
      <c r="C885" t="s">
        <v>26</v>
      </c>
      <c r="D885">
        <v>5.9425999999999997</v>
      </c>
      <c r="E885">
        <v>16.829999999999998</v>
      </c>
      <c r="F885">
        <v>13.45</v>
      </c>
      <c r="G885">
        <v>22.42</v>
      </c>
      <c r="H885">
        <v>0.35</v>
      </c>
      <c r="I885">
        <v>36</v>
      </c>
      <c r="J885">
        <v>153.22999999999999</v>
      </c>
      <c r="K885">
        <v>49.1</v>
      </c>
      <c r="L885">
        <v>3</v>
      </c>
      <c r="M885">
        <v>34</v>
      </c>
      <c r="N885">
        <v>26.13</v>
      </c>
      <c r="O885">
        <v>19131.849999999999</v>
      </c>
      <c r="P885">
        <v>146.19</v>
      </c>
      <c r="Q885">
        <v>988.26</v>
      </c>
      <c r="R885">
        <v>59.49</v>
      </c>
      <c r="S885">
        <v>35.43</v>
      </c>
      <c r="T885">
        <v>10875.53</v>
      </c>
      <c r="U885">
        <v>0.6</v>
      </c>
      <c r="V885">
        <v>0.85</v>
      </c>
      <c r="W885">
        <v>3.02</v>
      </c>
      <c r="X885">
        <v>0.7</v>
      </c>
      <c r="Y885">
        <v>1</v>
      </c>
      <c r="Z885">
        <v>10</v>
      </c>
    </row>
    <row r="886" spans="1:26" x14ac:dyDescent="0.3">
      <c r="A886">
        <v>9</v>
      </c>
      <c r="B886">
        <v>75</v>
      </c>
      <c r="C886" t="s">
        <v>26</v>
      </c>
      <c r="D886">
        <v>5.9947999999999997</v>
      </c>
      <c r="E886">
        <v>16.68</v>
      </c>
      <c r="F886">
        <v>13.4</v>
      </c>
      <c r="G886">
        <v>24.36</v>
      </c>
      <c r="H886">
        <v>0.37</v>
      </c>
      <c r="I886">
        <v>33</v>
      </c>
      <c r="J886">
        <v>153.58000000000001</v>
      </c>
      <c r="K886">
        <v>49.1</v>
      </c>
      <c r="L886">
        <v>3.25</v>
      </c>
      <c r="M886">
        <v>31</v>
      </c>
      <c r="N886">
        <v>26.23</v>
      </c>
      <c r="O886">
        <v>19175.02</v>
      </c>
      <c r="P886">
        <v>144.03</v>
      </c>
      <c r="Q886">
        <v>988.14</v>
      </c>
      <c r="R886">
        <v>57.62</v>
      </c>
      <c r="S886">
        <v>35.43</v>
      </c>
      <c r="T886">
        <v>9958.5400000000009</v>
      </c>
      <c r="U886">
        <v>0.61</v>
      </c>
      <c r="V886">
        <v>0.85</v>
      </c>
      <c r="W886">
        <v>3.02</v>
      </c>
      <c r="X886">
        <v>0.64</v>
      </c>
      <c r="Y886">
        <v>1</v>
      </c>
      <c r="Z886">
        <v>10</v>
      </c>
    </row>
    <row r="887" spans="1:26" x14ac:dyDescent="0.3">
      <c r="A887">
        <v>10</v>
      </c>
      <c r="B887">
        <v>75</v>
      </c>
      <c r="C887" t="s">
        <v>26</v>
      </c>
      <c r="D887">
        <v>6.0315000000000003</v>
      </c>
      <c r="E887">
        <v>16.579999999999998</v>
      </c>
      <c r="F887">
        <v>13.36</v>
      </c>
      <c r="G887">
        <v>25.85</v>
      </c>
      <c r="H887">
        <v>0.4</v>
      </c>
      <c r="I887">
        <v>31</v>
      </c>
      <c r="J887">
        <v>153.93</v>
      </c>
      <c r="K887">
        <v>49.1</v>
      </c>
      <c r="L887">
        <v>3.5</v>
      </c>
      <c r="M887">
        <v>29</v>
      </c>
      <c r="N887">
        <v>26.33</v>
      </c>
      <c r="O887">
        <v>19218.22</v>
      </c>
      <c r="P887">
        <v>142.47</v>
      </c>
      <c r="Q887">
        <v>988.21</v>
      </c>
      <c r="R887">
        <v>56.43</v>
      </c>
      <c r="S887">
        <v>35.43</v>
      </c>
      <c r="T887">
        <v>9369.2199999999993</v>
      </c>
      <c r="U887">
        <v>0.63</v>
      </c>
      <c r="V887">
        <v>0.85</v>
      </c>
      <c r="W887">
        <v>3.02</v>
      </c>
      <c r="X887">
        <v>0.6</v>
      </c>
      <c r="Y887">
        <v>1</v>
      </c>
      <c r="Z887">
        <v>10</v>
      </c>
    </row>
    <row r="888" spans="1:26" x14ac:dyDescent="0.3">
      <c r="A888">
        <v>11</v>
      </c>
      <c r="B888">
        <v>75</v>
      </c>
      <c r="C888" t="s">
        <v>26</v>
      </c>
      <c r="D888">
        <v>6.0890000000000004</v>
      </c>
      <c r="E888">
        <v>16.420000000000002</v>
      </c>
      <c r="F888">
        <v>13.29</v>
      </c>
      <c r="G888">
        <v>28.48</v>
      </c>
      <c r="H888">
        <v>0.43</v>
      </c>
      <c r="I888">
        <v>28</v>
      </c>
      <c r="J888">
        <v>154.28</v>
      </c>
      <c r="K888">
        <v>49.1</v>
      </c>
      <c r="L888">
        <v>3.75</v>
      </c>
      <c r="M888">
        <v>26</v>
      </c>
      <c r="N888">
        <v>26.43</v>
      </c>
      <c r="O888">
        <v>19261.45</v>
      </c>
      <c r="P888">
        <v>140.1</v>
      </c>
      <c r="Q888">
        <v>988.16</v>
      </c>
      <c r="R888">
        <v>54.47</v>
      </c>
      <c r="S888">
        <v>35.43</v>
      </c>
      <c r="T888">
        <v>8408.19</v>
      </c>
      <c r="U888">
        <v>0.65</v>
      </c>
      <c r="V888">
        <v>0.86</v>
      </c>
      <c r="W888">
        <v>3.01</v>
      </c>
      <c r="X888">
        <v>0.54</v>
      </c>
      <c r="Y888">
        <v>1</v>
      </c>
      <c r="Z888">
        <v>10</v>
      </c>
    </row>
    <row r="889" spans="1:26" x14ac:dyDescent="0.3">
      <c r="A889">
        <v>12</v>
      </c>
      <c r="B889">
        <v>75</v>
      </c>
      <c r="C889" t="s">
        <v>26</v>
      </c>
      <c r="D889">
        <v>6.1265000000000001</v>
      </c>
      <c r="E889">
        <v>16.32</v>
      </c>
      <c r="F889">
        <v>13.25</v>
      </c>
      <c r="G889">
        <v>30.58</v>
      </c>
      <c r="H889">
        <v>0.46</v>
      </c>
      <c r="I889">
        <v>26</v>
      </c>
      <c r="J889">
        <v>154.63</v>
      </c>
      <c r="K889">
        <v>49.1</v>
      </c>
      <c r="L889">
        <v>4</v>
      </c>
      <c r="M889">
        <v>24</v>
      </c>
      <c r="N889">
        <v>26.53</v>
      </c>
      <c r="O889">
        <v>19304.72</v>
      </c>
      <c r="P889">
        <v>138.44999999999999</v>
      </c>
      <c r="Q889">
        <v>988.22</v>
      </c>
      <c r="R889">
        <v>53.06</v>
      </c>
      <c r="S889">
        <v>35.43</v>
      </c>
      <c r="T889">
        <v>7713.38</v>
      </c>
      <c r="U889">
        <v>0.67</v>
      </c>
      <c r="V889">
        <v>0.86</v>
      </c>
      <c r="W889">
        <v>3.01</v>
      </c>
      <c r="X889">
        <v>0.5</v>
      </c>
      <c r="Y889">
        <v>1</v>
      </c>
      <c r="Z889">
        <v>10</v>
      </c>
    </row>
    <row r="890" spans="1:26" x14ac:dyDescent="0.3">
      <c r="A890">
        <v>13</v>
      </c>
      <c r="B890">
        <v>75</v>
      </c>
      <c r="C890" t="s">
        <v>26</v>
      </c>
      <c r="D890">
        <v>6.1688999999999998</v>
      </c>
      <c r="E890">
        <v>16.21</v>
      </c>
      <c r="F890">
        <v>13.2</v>
      </c>
      <c r="G890">
        <v>33</v>
      </c>
      <c r="H890">
        <v>0.49</v>
      </c>
      <c r="I890">
        <v>24</v>
      </c>
      <c r="J890">
        <v>154.97999999999999</v>
      </c>
      <c r="K890">
        <v>49.1</v>
      </c>
      <c r="L890">
        <v>4.25</v>
      </c>
      <c r="M890">
        <v>22</v>
      </c>
      <c r="N890">
        <v>26.63</v>
      </c>
      <c r="O890">
        <v>19348.03</v>
      </c>
      <c r="P890">
        <v>136.02000000000001</v>
      </c>
      <c r="Q890">
        <v>988.15</v>
      </c>
      <c r="R890">
        <v>51.7</v>
      </c>
      <c r="S890">
        <v>35.43</v>
      </c>
      <c r="T890">
        <v>7038.62</v>
      </c>
      <c r="U890">
        <v>0.69</v>
      </c>
      <c r="V890">
        <v>0.86</v>
      </c>
      <c r="W890">
        <v>3</v>
      </c>
      <c r="X890">
        <v>0.45</v>
      </c>
      <c r="Y890">
        <v>1</v>
      </c>
      <c r="Z890">
        <v>10</v>
      </c>
    </row>
    <row r="891" spans="1:26" x14ac:dyDescent="0.3">
      <c r="A891">
        <v>14</v>
      </c>
      <c r="B891">
        <v>75</v>
      </c>
      <c r="C891" t="s">
        <v>26</v>
      </c>
      <c r="D891">
        <v>6.1825999999999999</v>
      </c>
      <c r="E891">
        <v>16.170000000000002</v>
      </c>
      <c r="F891">
        <v>13.2</v>
      </c>
      <c r="G891">
        <v>34.42</v>
      </c>
      <c r="H891">
        <v>0.51</v>
      </c>
      <c r="I891">
        <v>23</v>
      </c>
      <c r="J891">
        <v>155.33000000000001</v>
      </c>
      <c r="K891">
        <v>49.1</v>
      </c>
      <c r="L891">
        <v>4.5</v>
      </c>
      <c r="M891">
        <v>21</v>
      </c>
      <c r="N891">
        <v>26.74</v>
      </c>
      <c r="O891">
        <v>19391.36</v>
      </c>
      <c r="P891">
        <v>134.9</v>
      </c>
      <c r="Q891">
        <v>988.26</v>
      </c>
      <c r="R891">
        <v>51.35</v>
      </c>
      <c r="S891">
        <v>35.43</v>
      </c>
      <c r="T891">
        <v>6869.46</v>
      </c>
      <c r="U891">
        <v>0.69</v>
      </c>
      <c r="V891">
        <v>0.86</v>
      </c>
      <c r="W891">
        <v>3</v>
      </c>
      <c r="X891">
        <v>0.44</v>
      </c>
      <c r="Y891">
        <v>1</v>
      </c>
      <c r="Z891">
        <v>10</v>
      </c>
    </row>
    <row r="892" spans="1:26" x14ac:dyDescent="0.3">
      <c r="A892">
        <v>15</v>
      </c>
      <c r="B892">
        <v>75</v>
      </c>
      <c r="C892" t="s">
        <v>26</v>
      </c>
      <c r="D892">
        <v>6.2201000000000004</v>
      </c>
      <c r="E892">
        <v>16.079999999999998</v>
      </c>
      <c r="F892">
        <v>13.16</v>
      </c>
      <c r="G892">
        <v>37.6</v>
      </c>
      <c r="H892">
        <v>0.54</v>
      </c>
      <c r="I892">
        <v>21</v>
      </c>
      <c r="J892">
        <v>155.68</v>
      </c>
      <c r="K892">
        <v>49.1</v>
      </c>
      <c r="L892">
        <v>4.75</v>
      </c>
      <c r="M892">
        <v>19</v>
      </c>
      <c r="N892">
        <v>26.84</v>
      </c>
      <c r="O892">
        <v>19434.740000000002</v>
      </c>
      <c r="P892">
        <v>132.74</v>
      </c>
      <c r="Q892">
        <v>988.11</v>
      </c>
      <c r="R892">
        <v>50.3</v>
      </c>
      <c r="S892">
        <v>35.43</v>
      </c>
      <c r="T892">
        <v>6357.46</v>
      </c>
      <c r="U892">
        <v>0.7</v>
      </c>
      <c r="V892">
        <v>0.87</v>
      </c>
      <c r="W892">
        <v>3</v>
      </c>
      <c r="X892">
        <v>0.41</v>
      </c>
      <c r="Y892">
        <v>1</v>
      </c>
      <c r="Z892">
        <v>10</v>
      </c>
    </row>
    <row r="893" spans="1:26" x14ac:dyDescent="0.3">
      <c r="A893">
        <v>16</v>
      </c>
      <c r="B893">
        <v>75</v>
      </c>
      <c r="C893" t="s">
        <v>26</v>
      </c>
      <c r="D893">
        <v>6.2492999999999999</v>
      </c>
      <c r="E893">
        <v>16</v>
      </c>
      <c r="F893">
        <v>13.11</v>
      </c>
      <c r="G893">
        <v>39.340000000000003</v>
      </c>
      <c r="H893">
        <v>0.56999999999999995</v>
      </c>
      <c r="I893">
        <v>20</v>
      </c>
      <c r="J893">
        <v>156.03</v>
      </c>
      <c r="K893">
        <v>49.1</v>
      </c>
      <c r="L893">
        <v>5</v>
      </c>
      <c r="M893">
        <v>18</v>
      </c>
      <c r="N893">
        <v>26.94</v>
      </c>
      <c r="O893">
        <v>19478.150000000001</v>
      </c>
      <c r="P893">
        <v>131.05000000000001</v>
      </c>
      <c r="Q893">
        <v>988.11</v>
      </c>
      <c r="R893">
        <v>49.06</v>
      </c>
      <c r="S893">
        <v>35.43</v>
      </c>
      <c r="T893">
        <v>5741.23</v>
      </c>
      <c r="U893">
        <v>0.72</v>
      </c>
      <c r="V893">
        <v>0.87</v>
      </c>
      <c r="W893">
        <v>2.99</v>
      </c>
      <c r="X893">
        <v>0.36</v>
      </c>
      <c r="Y893">
        <v>1</v>
      </c>
      <c r="Z893">
        <v>10</v>
      </c>
    </row>
    <row r="894" spans="1:26" x14ac:dyDescent="0.3">
      <c r="A894">
        <v>17</v>
      </c>
      <c r="B894">
        <v>75</v>
      </c>
      <c r="C894" t="s">
        <v>26</v>
      </c>
      <c r="D894">
        <v>6.2602000000000002</v>
      </c>
      <c r="E894">
        <v>15.97</v>
      </c>
      <c r="F894">
        <v>13.12</v>
      </c>
      <c r="G894">
        <v>41.42</v>
      </c>
      <c r="H894">
        <v>0.59</v>
      </c>
      <c r="I894">
        <v>19</v>
      </c>
      <c r="J894">
        <v>156.38999999999999</v>
      </c>
      <c r="K894">
        <v>49.1</v>
      </c>
      <c r="L894">
        <v>5.25</v>
      </c>
      <c r="M894">
        <v>17</v>
      </c>
      <c r="N894">
        <v>27.04</v>
      </c>
      <c r="O894">
        <v>19521.59</v>
      </c>
      <c r="P894">
        <v>128.53</v>
      </c>
      <c r="Q894">
        <v>988.12</v>
      </c>
      <c r="R894">
        <v>49.07</v>
      </c>
      <c r="S894">
        <v>35.43</v>
      </c>
      <c r="T894">
        <v>5752.57</v>
      </c>
      <c r="U894">
        <v>0.72</v>
      </c>
      <c r="V894">
        <v>0.87</v>
      </c>
      <c r="W894">
        <v>3</v>
      </c>
      <c r="X894">
        <v>0.36</v>
      </c>
      <c r="Y894">
        <v>1</v>
      </c>
      <c r="Z894">
        <v>10</v>
      </c>
    </row>
    <row r="895" spans="1:26" x14ac:dyDescent="0.3">
      <c r="A895">
        <v>18</v>
      </c>
      <c r="B895">
        <v>75</v>
      </c>
      <c r="C895" t="s">
        <v>26</v>
      </c>
      <c r="D895">
        <v>6.2794999999999996</v>
      </c>
      <c r="E895">
        <v>15.92</v>
      </c>
      <c r="F895">
        <v>13.1</v>
      </c>
      <c r="G895">
        <v>43.66</v>
      </c>
      <c r="H895">
        <v>0.62</v>
      </c>
      <c r="I895">
        <v>18</v>
      </c>
      <c r="J895">
        <v>156.74</v>
      </c>
      <c r="K895">
        <v>49.1</v>
      </c>
      <c r="L895">
        <v>5.5</v>
      </c>
      <c r="M895">
        <v>16</v>
      </c>
      <c r="N895">
        <v>27.14</v>
      </c>
      <c r="O895">
        <v>19565.07</v>
      </c>
      <c r="P895">
        <v>127.3</v>
      </c>
      <c r="Q895">
        <v>988.08</v>
      </c>
      <c r="R895">
        <v>48.55</v>
      </c>
      <c r="S895">
        <v>35.43</v>
      </c>
      <c r="T895">
        <v>5494.62</v>
      </c>
      <c r="U895">
        <v>0.73</v>
      </c>
      <c r="V895">
        <v>0.87</v>
      </c>
      <c r="W895">
        <v>2.99</v>
      </c>
      <c r="X895">
        <v>0.34</v>
      </c>
      <c r="Y895">
        <v>1</v>
      </c>
      <c r="Z895">
        <v>10</v>
      </c>
    </row>
    <row r="896" spans="1:26" x14ac:dyDescent="0.3">
      <c r="A896">
        <v>19</v>
      </c>
      <c r="B896">
        <v>75</v>
      </c>
      <c r="C896" t="s">
        <v>26</v>
      </c>
      <c r="D896">
        <v>6.3009000000000004</v>
      </c>
      <c r="E896">
        <v>15.87</v>
      </c>
      <c r="F896">
        <v>13.07</v>
      </c>
      <c r="G896">
        <v>46.15</v>
      </c>
      <c r="H896">
        <v>0.65</v>
      </c>
      <c r="I896">
        <v>17</v>
      </c>
      <c r="J896">
        <v>157.09</v>
      </c>
      <c r="K896">
        <v>49.1</v>
      </c>
      <c r="L896">
        <v>5.75</v>
      </c>
      <c r="M896">
        <v>15</v>
      </c>
      <c r="N896">
        <v>27.25</v>
      </c>
      <c r="O896">
        <v>19608.580000000002</v>
      </c>
      <c r="P896">
        <v>124.35</v>
      </c>
      <c r="Q896">
        <v>988.12</v>
      </c>
      <c r="R896">
        <v>47.78</v>
      </c>
      <c r="S896">
        <v>35.43</v>
      </c>
      <c r="T896">
        <v>5116.99</v>
      </c>
      <c r="U896">
        <v>0.74</v>
      </c>
      <c r="V896">
        <v>0.87</v>
      </c>
      <c r="W896">
        <v>2.99</v>
      </c>
      <c r="X896">
        <v>0.32</v>
      </c>
      <c r="Y896">
        <v>1</v>
      </c>
      <c r="Z896">
        <v>10</v>
      </c>
    </row>
    <row r="897" spans="1:26" x14ac:dyDescent="0.3">
      <c r="A897">
        <v>20</v>
      </c>
      <c r="B897">
        <v>75</v>
      </c>
      <c r="C897" t="s">
        <v>26</v>
      </c>
      <c r="D897">
        <v>6.3212999999999999</v>
      </c>
      <c r="E897">
        <v>15.82</v>
      </c>
      <c r="F897">
        <v>13.05</v>
      </c>
      <c r="G897">
        <v>48.95</v>
      </c>
      <c r="H897">
        <v>0.67</v>
      </c>
      <c r="I897">
        <v>16</v>
      </c>
      <c r="J897">
        <v>157.44</v>
      </c>
      <c r="K897">
        <v>49.1</v>
      </c>
      <c r="L897">
        <v>6</v>
      </c>
      <c r="M897">
        <v>12</v>
      </c>
      <c r="N897">
        <v>27.35</v>
      </c>
      <c r="O897">
        <v>19652.13</v>
      </c>
      <c r="P897">
        <v>123.57</v>
      </c>
      <c r="Q897">
        <v>988.14</v>
      </c>
      <c r="R897">
        <v>47</v>
      </c>
      <c r="S897">
        <v>35.43</v>
      </c>
      <c r="T897">
        <v>4731.6400000000003</v>
      </c>
      <c r="U897">
        <v>0.75</v>
      </c>
      <c r="V897">
        <v>0.87</v>
      </c>
      <c r="W897">
        <v>2.99</v>
      </c>
      <c r="X897">
        <v>0.3</v>
      </c>
      <c r="Y897">
        <v>1</v>
      </c>
      <c r="Z897">
        <v>10</v>
      </c>
    </row>
    <row r="898" spans="1:26" x14ac:dyDescent="0.3">
      <c r="A898">
        <v>21</v>
      </c>
      <c r="B898">
        <v>75</v>
      </c>
      <c r="C898" t="s">
        <v>26</v>
      </c>
      <c r="D898">
        <v>6.3390000000000004</v>
      </c>
      <c r="E898">
        <v>15.78</v>
      </c>
      <c r="F898">
        <v>13.04</v>
      </c>
      <c r="G898">
        <v>52.16</v>
      </c>
      <c r="H898">
        <v>0.7</v>
      </c>
      <c r="I898">
        <v>15</v>
      </c>
      <c r="J898">
        <v>157.80000000000001</v>
      </c>
      <c r="K898">
        <v>49.1</v>
      </c>
      <c r="L898">
        <v>6.25</v>
      </c>
      <c r="M898">
        <v>9</v>
      </c>
      <c r="N898">
        <v>27.45</v>
      </c>
      <c r="O898">
        <v>19695.71</v>
      </c>
      <c r="P898">
        <v>120.91</v>
      </c>
      <c r="Q898">
        <v>988.16</v>
      </c>
      <c r="R898">
        <v>46.62</v>
      </c>
      <c r="S898">
        <v>35.43</v>
      </c>
      <c r="T898">
        <v>4547.91</v>
      </c>
      <c r="U898">
        <v>0.76</v>
      </c>
      <c r="V898">
        <v>0.87</v>
      </c>
      <c r="W898">
        <v>2.99</v>
      </c>
      <c r="X898">
        <v>0.28999999999999998</v>
      </c>
      <c r="Y898">
        <v>1</v>
      </c>
      <c r="Z898">
        <v>10</v>
      </c>
    </row>
    <row r="899" spans="1:26" x14ac:dyDescent="0.3">
      <c r="A899">
        <v>22</v>
      </c>
      <c r="B899">
        <v>75</v>
      </c>
      <c r="C899" t="s">
        <v>26</v>
      </c>
      <c r="D899">
        <v>6.3367000000000004</v>
      </c>
      <c r="E899">
        <v>15.78</v>
      </c>
      <c r="F899">
        <v>13.05</v>
      </c>
      <c r="G899">
        <v>52.19</v>
      </c>
      <c r="H899">
        <v>0.73</v>
      </c>
      <c r="I899">
        <v>15</v>
      </c>
      <c r="J899">
        <v>158.15</v>
      </c>
      <c r="K899">
        <v>49.1</v>
      </c>
      <c r="L899">
        <v>6.5</v>
      </c>
      <c r="M899">
        <v>5</v>
      </c>
      <c r="N899">
        <v>27.56</v>
      </c>
      <c r="O899">
        <v>19739.330000000002</v>
      </c>
      <c r="P899">
        <v>120.57</v>
      </c>
      <c r="Q899">
        <v>988.21</v>
      </c>
      <c r="R899">
        <v>46.52</v>
      </c>
      <c r="S899">
        <v>35.43</v>
      </c>
      <c r="T899">
        <v>4497.87</v>
      </c>
      <c r="U899">
        <v>0.76</v>
      </c>
      <c r="V899">
        <v>0.87</v>
      </c>
      <c r="W899">
        <v>3</v>
      </c>
      <c r="X899">
        <v>0.28999999999999998</v>
      </c>
      <c r="Y899">
        <v>1</v>
      </c>
      <c r="Z899">
        <v>10</v>
      </c>
    </row>
    <row r="900" spans="1:26" x14ac:dyDescent="0.3">
      <c r="A900">
        <v>23</v>
      </c>
      <c r="B900">
        <v>75</v>
      </c>
      <c r="C900" t="s">
        <v>26</v>
      </c>
      <c r="D900">
        <v>6.3357000000000001</v>
      </c>
      <c r="E900">
        <v>15.78</v>
      </c>
      <c r="F900">
        <v>13.05</v>
      </c>
      <c r="G900">
        <v>52.2</v>
      </c>
      <c r="H900">
        <v>0.75</v>
      </c>
      <c r="I900">
        <v>15</v>
      </c>
      <c r="J900">
        <v>158.51</v>
      </c>
      <c r="K900">
        <v>49.1</v>
      </c>
      <c r="L900">
        <v>6.75</v>
      </c>
      <c r="M900">
        <v>2</v>
      </c>
      <c r="N900">
        <v>27.66</v>
      </c>
      <c r="O900">
        <v>19782.990000000002</v>
      </c>
      <c r="P900">
        <v>120.4</v>
      </c>
      <c r="Q900">
        <v>988.29</v>
      </c>
      <c r="R900">
        <v>46.54</v>
      </c>
      <c r="S900">
        <v>35.43</v>
      </c>
      <c r="T900">
        <v>4503.68</v>
      </c>
      <c r="U900">
        <v>0.76</v>
      </c>
      <c r="V900">
        <v>0.87</v>
      </c>
      <c r="W900">
        <v>3</v>
      </c>
      <c r="X900">
        <v>0.28999999999999998</v>
      </c>
      <c r="Y900">
        <v>1</v>
      </c>
      <c r="Z900">
        <v>10</v>
      </c>
    </row>
    <row r="901" spans="1:26" x14ac:dyDescent="0.3">
      <c r="A901">
        <v>24</v>
      </c>
      <c r="B901">
        <v>75</v>
      </c>
      <c r="C901" t="s">
        <v>26</v>
      </c>
      <c r="D901">
        <v>6.3396999999999997</v>
      </c>
      <c r="E901">
        <v>15.77</v>
      </c>
      <c r="F901">
        <v>13.04</v>
      </c>
      <c r="G901">
        <v>52.16</v>
      </c>
      <c r="H901">
        <v>0.78</v>
      </c>
      <c r="I901">
        <v>15</v>
      </c>
      <c r="J901">
        <v>158.86000000000001</v>
      </c>
      <c r="K901">
        <v>49.1</v>
      </c>
      <c r="L901">
        <v>7</v>
      </c>
      <c r="M901">
        <v>1</v>
      </c>
      <c r="N901">
        <v>27.77</v>
      </c>
      <c r="O901">
        <v>19826.68</v>
      </c>
      <c r="P901">
        <v>120.38</v>
      </c>
      <c r="Q901">
        <v>988.2</v>
      </c>
      <c r="R901">
        <v>46.15</v>
      </c>
      <c r="S901">
        <v>35.43</v>
      </c>
      <c r="T901">
        <v>4310.3500000000004</v>
      </c>
      <c r="U901">
        <v>0.77</v>
      </c>
      <c r="V901">
        <v>0.87</v>
      </c>
      <c r="W901">
        <v>3</v>
      </c>
      <c r="X901">
        <v>0.28000000000000003</v>
      </c>
      <c r="Y901">
        <v>1</v>
      </c>
      <c r="Z901">
        <v>10</v>
      </c>
    </row>
    <row r="902" spans="1:26" x14ac:dyDescent="0.3">
      <c r="A902">
        <v>25</v>
      </c>
      <c r="B902">
        <v>75</v>
      </c>
      <c r="C902" t="s">
        <v>26</v>
      </c>
      <c r="D902">
        <v>6.3406000000000002</v>
      </c>
      <c r="E902">
        <v>15.77</v>
      </c>
      <c r="F902">
        <v>13.04</v>
      </c>
      <c r="G902">
        <v>52.15</v>
      </c>
      <c r="H902">
        <v>0.81</v>
      </c>
      <c r="I902">
        <v>15</v>
      </c>
      <c r="J902">
        <v>159.22</v>
      </c>
      <c r="K902">
        <v>49.1</v>
      </c>
      <c r="L902">
        <v>7.25</v>
      </c>
      <c r="M902">
        <v>1</v>
      </c>
      <c r="N902">
        <v>27.87</v>
      </c>
      <c r="O902">
        <v>19870.53</v>
      </c>
      <c r="P902">
        <v>120.38</v>
      </c>
      <c r="Q902">
        <v>988.2</v>
      </c>
      <c r="R902">
        <v>46.09</v>
      </c>
      <c r="S902">
        <v>35.43</v>
      </c>
      <c r="T902">
        <v>4281.6400000000003</v>
      </c>
      <c r="U902">
        <v>0.77</v>
      </c>
      <c r="V902">
        <v>0.87</v>
      </c>
      <c r="W902">
        <v>3</v>
      </c>
      <c r="X902">
        <v>0.28000000000000003</v>
      </c>
      <c r="Y902">
        <v>1</v>
      </c>
      <c r="Z902">
        <v>10</v>
      </c>
    </row>
    <row r="903" spans="1:26" x14ac:dyDescent="0.3">
      <c r="A903">
        <v>26</v>
      </c>
      <c r="B903">
        <v>75</v>
      </c>
      <c r="C903" t="s">
        <v>26</v>
      </c>
      <c r="D903">
        <v>6.3404999999999996</v>
      </c>
      <c r="E903">
        <v>15.77</v>
      </c>
      <c r="F903">
        <v>13.04</v>
      </c>
      <c r="G903">
        <v>52.15</v>
      </c>
      <c r="H903">
        <v>0.83</v>
      </c>
      <c r="I903">
        <v>15</v>
      </c>
      <c r="J903">
        <v>159.57</v>
      </c>
      <c r="K903">
        <v>49.1</v>
      </c>
      <c r="L903">
        <v>7.5</v>
      </c>
      <c r="M903">
        <v>0</v>
      </c>
      <c r="N903">
        <v>27.98</v>
      </c>
      <c r="O903">
        <v>19914.3</v>
      </c>
      <c r="P903">
        <v>120.59</v>
      </c>
      <c r="Q903">
        <v>988.2</v>
      </c>
      <c r="R903">
        <v>46.08</v>
      </c>
      <c r="S903">
        <v>35.43</v>
      </c>
      <c r="T903">
        <v>4276.22</v>
      </c>
      <c r="U903">
        <v>0.77</v>
      </c>
      <c r="V903">
        <v>0.87</v>
      </c>
      <c r="W903">
        <v>3</v>
      </c>
      <c r="X903">
        <v>0.28000000000000003</v>
      </c>
      <c r="Y903">
        <v>1</v>
      </c>
      <c r="Z903">
        <v>10</v>
      </c>
    </row>
    <row r="904" spans="1:26" x14ac:dyDescent="0.3">
      <c r="A904">
        <v>0</v>
      </c>
      <c r="B904">
        <v>95</v>
      </c>
      <c r="C904" t="s">
        <v>26</v>
      </c>
      <c r="D904">
        <v>4.1536999999999997</v>
      </c>
      <c r="E904">
        <v>24.08</v>
      </c>
      <c r="F904">
        <v>15.87</v>
      </c>
      <c r="G904">
        <v>6.18</v>
      </c>
      <c r="H904">
        <v>0.1</v>
      </c>
      <c r="I904">
        <v>154</v>
      </c>
      <c r="J904">
        <v>185.69</v>
      </c>
      <c r="K904">
        <v>53.44</v>
      </c>
      <c r="L904">
        <v>1</v>
      </c>
      <c r="M904">
        <v>152</v>
      </c>
      <c r="N904">
        <v>36.26</v>
      </c>
      <c r="O904">
        <v>23136.14</v>
      </c>
      <c r="P904">
        <v>213.46</v>
      </c>
      <c r="Q904">
        <v>988.52</v>
      </c>
      <c r="R904">
        <v>135.26</v>
      </c>
      <c r="S904">
        <v>35.43</v>
      </c>
      <c r="T904">
        <v>48169.7</v>
      </c>
      <c r="U904">
        <v>0.26</v>
      </c>
      <c r="V904">
        <v>0.72</v>
      </c>
      <c r="W904">
        <v>3.2</v>
      </c>
      <c r="X904">
        <v>3.12</v>
      </c>
      <c r="Y904">
        <v>1</v>
      </c>
      <c r="Z904">
        <v>10</v>
      </c>
    </row>
    <row r="905" spans="1:26" x14ac:dyDescent="0.3">
      <c r="A905">
        <v>1</v>
      </c>
      <c r="B905">
        <v>95</v>
      </c>
      <c r="C905" t="s">
        <v>26</v>
      </c>
      <c r="D905">
        <v>4.5616000000000003</v>
      </c>
      <c r="E905">
        <v>21.92</v>
      </c>
      <c r="F905">
        <v>15.1</v>
      </c>
      <c r="G905">
        <v>7.74</v>
      </c>
      <c r="H905">
        <v>0.12</v>
      </c>
      <c r="I905">
        <v>117</v>
      </c>
      <c r="J905">
        <v>186.07</v>
      </c>
      <c r="K905">
        <v>53.44</v>
      </c>
      <c r="L905">
        <v>1.25</v>
      </c>
      <c r="M905">
        <v>115</v>
      </c>
      <c r="N905">
        <v>36.39</v>
      </c>
      <c r="O905">
        <v>23182.76</v>
      </c>
      <c r="P905">
        <v>201.93</v>
      </c>
      <c r="Q905">
        <v>988.38</v>
      </c>
      <c r="R905">
        <v>110.56</v>
      </c>
      <c r="S905">
        <v>35.43</v>
      </c>
      <c r="T905">
        <v>36005.879999999997</v>
      </c>
      <c r="U905">
        <v>0.32</v>
      </c>
      <c r="V905">
        <v>0.76</v>
      </c>
      <c r="W905">
        <v>3.16</v>
      </c>
      <c r="X905">
        <v>2.34</v>
      </c>
      <c r="Y905">
        <v>1</v>
      </c>
      <c r="Z905">
        <v>10</v>
      </c>
    </row>
    <row r="906" spans="1:26" x14ac:dyDescent="0.3">
      <c r="A906">
        <v>2</v>
      </c>
      <c r="B906">
        <v>95</v>
      </c>
      <c r="C906" t="s">
        <v>26</v>
      </c>
      <c r="D906">
        <v>4.8517999999999999</v>
      </c>
      <c r="E906">
        <v>20.61</v>
      </c>
      <c r="F906">
        <v>14.64</v>
      </c>
      <c r="G906">
        <v>9.35</v>
      </c>
      <c r="H906">
        <v>0.14000000000000001</v>
      </c>
      <c r="I906">
        <v>94</v>
      </c>
      <c r="J906">
        <v>186.45</v>
      </c>
      <c r="K906">
        <v>53.44</v>
      </c>
      <c r="L906">
        <v>1.5</v>
      </c>
      <c r="M906">
        <v>92</v>
      </c>
      <c r="N906">
        <v>36.51</v>
      </c>
      <c r="O906">
        <v>23229.42</v>
      </c>
      <c r="P906">
        <v>194.83</v>
      </c>
      <c r="Q906">
        <v>988.77</v>
      </c>
      <c r="R906">
        <v>96.36</v>
      </c>
      <c r="S906">
        <v>35.43</v>
      </c>
      <c r="T906">
        <v>29021.66</v>
      </c>
      <c r="U906">
        <v>0.37</v>
      </c>
      <c r="V906">
        <v>0.78</v>
      </c>
      <c r="W906">
        <v>3.12</v>
      </c>
      <c r="X906">
        <v>1.88</v>
      </c>
      <c r="Y906">
        <v>1</v>
      </c>
      <c r="Z906">
        <v>10</v>
      </c>
    </row>
    <row r="907" spans="1:26" x14ac:dyDescent="0.3">
      <c r="A907">
        <v>3</v>
      </c>
      <c r="B907">
        <v>95</v>
      </c>
      <c r="C907" t="s">
        <v>26</v>
      </c>
      <c r="D907">
        <v>5.0631000000000004</v>
      </c>
      <c r="E907">
        <v>19.75</v>
      </c>
      <c r="F907">
        <v>14.34</v>
      </c>
      <c r="G907">
        <v>10.89</v>
      </c>
      <c r="H907">
        <v>0.17</v>
      </c>
      <c r="I907">
        <v>79</v>
      </c>
      <c r="J907">
        <v>186.83</v>
      </c>
      <c r="K907">
        <v>53.44</v>
      </c>
      <c r="L907">
        <v>1.75</v>
      </c>
      <c r="M907">
        <v>77</v>
      </c>
      <c r="N907">
        <v>36.64</v>
      </c>
      <c r="O907">
        <v>23276.13</v>
      </c>
      <c r="P907">
        <v>189.75</v>
      </c>
      <c r="Q907">
        <v>988.42</v>
      </c>
      <c r="R907">
        <v>86.88</v>
      </c>
      <c r="S907">
        <v>35.43</v>
      </c>
      <c r="T907">
        <v>24358.400000000001</v>
      </c>
      <c r="U907">
        <v>0.41</v>
      </c>
      <c r="V907">
        <v>0.79</v>
      </c>
      <c r="W907">
        <v>3.1</v>
      </c>
      <c r="X907">
        <v>1.58</v>
      </c>
      <c r="Y907">
        <v>1</v>
      </c>
      <c r="Z907">
        <v>10</v>
      </c>
    </row>
    <row r="908" spans="1:26" x14ac:dyDescent="0.3">
      <c r="A908">
        <v>4</v>
      </c>
      <c r="B908">
        <v>95</v>
      </c>
      <c r="C908" t="s">
        <v>26</v>
      </c>
      <c r="D908">
        <v>5.2358000000000002</v>
      </c>
      <c r="E908">
        <v>19.100000000000001</v>
      </c>
      <c r="F908">
        <v>14.1</v>
      </c>
      <c r="G908">
        <v>12.44</v>
      </c>
      <c r="H908">
        <v>0.19</v>
      </c>
      <c r="I908">
        <v>68</v>
      </c>
      <c r="J908">
        <v>187.21</v>
      </c>
      <c r="K908">
        <v>53.44</v>
      </c>
      <c r="L908">
        <v>2</v>
      </c>
      <c r="M908">
        <v>66</v>
      </c>
      <c r="N908">
        <v>36.770000000000003</v>
      </c>
      <c r="O908">
        <v>23322.880000000001</v>
      </c>
      <c r="P908">
        <v>185.47</v>
      </c>
      <c r="Q908">
        <v>988.45</v>
      </c>
      <c r="R908">
        <v>79.819999999999993</v>
      </c>
      <c r="S908">
        <v>35.43</v>
      </c>
      <c r="T908">
        <v>20881.25</v>
      </c>
      <c r="U908">
        <v>0.44</v>
      </c>
      <c r="V908">
        <v>0.81</v>
      </c>
      <c r="W908">
        <v>3.07</v>
      </c>
      <c r="X908">
        <v>1.34</v>
      </c>
      <c r="Y908">
        <v>1</v>
      </c>
      <c r="Z908">
        <v>10</v>
      </c>
    </row>
    <row r="909" spans="1:26" x14ac:dyDescent="0.3">
      <c r="A909">
        <v>5</v>
      </c>
      <c r="B909">
        <v>95</v>
      </c>
      <c r="C909" t="s">
        <v>26</v>
      </c>
      <c r="D909">
        <v>5.3852000000000002</v>
      </c>
      <c r="E909">
        <v>18.57</v>
      </c>
      <c r="F909">
        <v>13.9</v>
      </c>
      <c r="G909">
        <v>14.14</v>
      </c>
      <c r="H909">
        <v>0.21</v>
      </c>
      <c r="I909">
        <v>59</v>
      </c>
      <c r="J909">
        <v>187.59</v>
      </c>
      <c r="K909">
        <v>53.44</v>
      </c>
      <c r="L909">
        <v>2.25</v>
      </c>
      <c r="M909">
        <v>57</v>
      </c>
      <c r="N909">
        <v>36.9</v>
      </c>
      <c r="O909">
        <v>23369.68</v>
      </c>
      <c r="P909">
        <v>181.97</v>
      </c>
      <c r="Q909">
        <v>988.39</v>
      </c>
      <c r="R909">
        <v>73.569999999999993</v>
      </c>
      <c r="S909">
        <v>35.43</v>
      </c>
      <c r="T909">
        <v>17800.59</v>
      </c>
      <c r="U909">
        <v>0.48</v>
      </c>
      <c r="V909">
        <v>0.82</v>
      </c>
      <c r="W909">
        <v>3.06</v>
      </c>
      <c r="X909">
        <v>1.1499999999999999</v>
      </c>
      <c r="Y909">
        <v>1</v>
      </c>
      <c r="Z909">
        <v>10</v>
      </c>
    </row>
    <row r="910" spans="1:26" x14ac:dyDescent="0.3">
      <c r="A910">
        <v>6</v>
      </c>
      <c r="B910">
        <v>95</v>
      </c>
      <c r="C910" t="s">
        <v>26</v>
      </c>
      <c r="D910">
        <v>5.4798999999999998</v>
      </c>
      <c r="E910">
        <v>18.25</v>
      </c>
      <c r="F910">
        <v>13.81</v>
      </c>
      <c r="G910">
        <v>15.63</v>
      </c>
      <c r="H910">
        <v>0.24</v>
      </c>
      <c r="I910">
        <v>53</v>
      </c>
      <c r="J910">
        <v>187.97</v>
      </c>
      <c r="K910">
        <v>53.44</v>
      </c>
      <c r="L910">
        <v>2.5</v>
      </c>
      <c r="M910">
        <v>51</v>
      </c>
      <c r="N910">
        <v>37.03</v>
      </c>
      <c r="O910">
        <v>23416.52</v>
      </c>
      <c r="P910">
        <v>179.64</v>
      </c>
      <c r="Q910">
        <v>988.2</v>
      </c>
      <c r="R910">
        <v>70.36</v>
      </c>
      <c r="S910">
        <v>35.43</v>
      </c>
      <c r="T910">
        <v>16227.42</v>
      </c>
      <c r="U910">
        <v>0.5</v>
      </c>
      <c r="V910">
        <v>0.83</v>
      </c>
      <c r="W910">
        <v>3.06</v>
      </c>
      <c r="X910">
        <v>1.05</v>
      </c>
      <c r="Y910">
        <v>1</v>
      </c>
      <c r="Z910">
        <v>10</v>
      </c>
    </row>
    <row r="911" spans="1:26" x14ac:dyDescent="0.3">
      <c r="A911">
        <v>7</v>
      </c>
      <c r="B911">
        <v>95</v>
      </c>
      <c r="C911" t="s">
        <v>26</v>
      </c>
      <c r="D911">
        <v>5.5621</v>
      </c>
      <c r="E911">
        <v>17.98</v>
      </c>
      <c r="F911">
        <v>13.72</v>
      </c>
      <c r="G911">
        <v>17.149999999999999</v>
      </c>
      <c r="H911">
        <v>0.26</v>
      </c>
      <c r="I911">
        <v>48</v>
      </c>
      <c r="J911">
        <v>188.35</v>
      </c>
      <c r="K911">
        <v>53.44</v>
      </c>
      <c r="L911">
        <v>2.75</v>
      </c>
      <c r="M911">
        <v>46</v>
      </c>
      <c r="N911">
        <v>37.159999999999997</v>
      </c>
      <c r="O911">
        <v>23463.4</v>
      </c>
      <c r="P911">
        <v>177.4</v>
      </c>
      <c r="Q911">
        <v>988.19</v>
      </c>
      <c r="R911">
        <v>67.400000000000006</v>
      </c>
      <c r="S911">
        <v>35.43</v>
      </c>
      <c r="T911">
        <v>14769.8</v>
      </c>
      <c r="U911">
        <v>0.53</v>
      </c>
      <c r="V911">
        <v>0.83</v>
      </c>
      <c r="W911">
        <v>3.06</v>
      </c>
      <c r="X911">
        <v>0.97</v>
      </c>
      <c r="Y911">
        <v>1</v>
      </c>
      <c r="Z911">
        <v>10</v>
      </c>
    </row>
    <row r="912" spans="1:26" x14ac:dyDescent="0.3">
      <c r="A912">
        <v>8</v>
      </c>
      <c r="B912">
        <v>95</v>
      </c>
      <c r="C912" t="s">
        <v>26</v>
      </c>
      <c r="D912">
        <v>5.6627000000000001</v>
      </c>
      <c r="E912">
        <v>17.66</v>
      </c>
      <c r="F912">
        <v>13.59</v>
      </c>
      <c r="G912">
        <v>18.96</v>
      </c>
      <c r="H912">
        <v>0.28000000000000003</v>
      </c>
      <c r="I912">
        <v>43</v>
      </c>
      <c r="J912">
        <v>188.73</v>
      </c>
      <c r="K912">
        <v>53.44</v>
      </c>
      <c r="L912">
        <v>3</v>
      </c>
      <c r="M912">
        <v>41</v>
      </c>
      <c r="N912">
        <v>37.29</v>
      </c>
      <c r="O912">
        <v>23510.33</v>
      </c>
      <c r="P912">
        <v>174.64</v>
      </c>
      <c r="Q912">
        <v>988.26</v>
      </c>
      <c r="R912">
        <v>63.74</v>
      </c>
      <c r="S912">
        <v>35.43</v>
      </c>
      <c r="T912">
        <v>12965.76</v>
      </c>
      <c r="U912">
        <v>0.56000000000000005</v>
      </c>
      <c r="V912">
        <v>0.84</v>
      </c>
      <c r="W912">
        <v>3.03</v>
      </c>
      <c r="X912">
        <v>0.83</v>
      </c>
      <c r="Y912">
        <v>1</v>
      </c>
      <c r="Z912">
        <v>10</v>
      </c>
    </row>
    <row r="913" spans="1:26" x14ac:dyDescent="0.3">
      <c r="A913">
        <v>9</v>
      </c>
      <c r="B913">
        <v>95</v>
      </c>
      <c r="C913" t="s">
        <v>26</v>
      </c>
      <c r="D913">
        <v>5.7125000000000004</v>
      </c>
      <c r="E913">
        <v>17.510000000000002</v>
      </c>
      <c r="F913">
        <v>13.55</v>
      </c>
      <c r="G913">
        <v>20.32</v>
      </c>
      <c r="H913">
        <v>0.3</v>
      </c>
      <c r="I913">
        <v>40</v>
      </c>
      <c r="J913">
        <v>189.11</v>
      </c>
      <c r="K913">
        <v>53.44</v>
      </c>
      <c r="L913">
        <v>3.25</v>
      </c>
      <c r="M913">
        <v>38</v>
      </c>
      <c r="N913">
        <v>37.42</v>
      </c>
      <c r="O913">
        <v>23557.3</v>
      </c>
      <c r="P913">
        <v>173.06</v>
      </c>
      <c r="Q913">
        <v>988.29</v>
      </c>
      <c r="R913">
        <v>62.52</v>
      </c>
      <c r="S913">
        <v>35.43</v>
      </c>
      <c r="T913">
        <v>12369.79</v>
      </c>
      <c r="U913">
        <v>0.56999999999999995</v>
      </c>
      <c r="V913">
        <v>0.84</v>
      </c>
      <c r="W913">
        <v>3.03</v>
      </c>
      <c r="X913">
        <v>0.79</v>
      </c>
      <c r="Y913">
        <v>1</v>
      </c>
      <c r="Z913">
        <v>10</v>
      </c>
    </row>
    <row r="914" spans="1:26" x14ac:dyDescent="0.3">
      <c r="A914">
        <v>10</v>
      </c>
      <c r="B914">
        <v>95</v>
      </c>
      <c r="C914" t="s">
        <v>26</v>
      </c>
      <c r="D914">
        <v>5.79</v>
      </c>
      <c r="E914">
        <v>17.27</v>
      </c>
      <c r="F914">
        <v>13.46</v>
      </c>
      <c r="G914">
        <v>22.44</v>
      </c>
      <c r="H914">
        <v>0.33</v>
      </c>
      <c r="I914">
        <v>36</v>
      </c>
      <c r="J914">
        <v>189.49</v>
      </c>
      <c r="K914">
        <v>53.44</v>
      </c>
      <c r="L914">
        <v>3.5</v>
      </c>
      <c r="M914">
        <v>34</v>
      </c>
      <c r="N914">
        <v>37.549999999999997</v>
      </c>
      <c r="O914">
        <v>23604.32</v>
      </c>
      <c r="P914">
        <v>170.76</v>
      </c>
      <c r="Q914">
        <v>988.13</v>
      </c>
      <c r="R914">
        <v>59.77</v>
      </c>
      <c r="S914">
        <v>35.43</v>
      </c>
      <c r="T914">
        <v>11014.92</v>
      </c>
      <c r="U914">
        <v>0.59</v>
      </c>
      <c r="V914">
        <v>0.85</v>
      </c>
      <c r="W914">
        <v>3.02</v>
      </c>
      <c r="X914">
        <v>0.71</v>
      </c>
      <c r="Y914">
        <v>1</v>
      </c>
      <c r="Z914">
        <v>10</v>
      </c>
    </row>
    <row r="915" spans="1:26" x14ac:dyDescent="0.3">
      <c r="A915">
        <v>11</v>
      </c>
      <c r="B915">
        <v>95</v>
      </c>
      <c r="C915" t="s">
        <v>26</v>
      </c>
      <c r="D915">
        <v>5.8329000000000004</v>
      </c>
      <c r="E915">
        <v>17.14</v>
      </c>
      <c r="F915">
        <v>13.41</v>
      </c>
      <c r="G915">
        <v>23.66</v>
      </c>
      <c r="H915">
        <v>0.35</v>
      </c>
      <c r="I915">
        <v>34</v>
      </c>
      <c r="J915">
        <v>189.87</v>
      </c>
      <c r="K915">
        <v>53.44</v>
      </c>
      <c r="L915">
        <v>3.75</v>
      </c>
      <c r="M915">
        <v>32</v>
      </c>
      <c r="N915">
        <v>37.69</v>
      </c>
      <c r="O915">
        <v>23651.38</v>
      </c>
      <c r="P915">
        <v>169.19</v>
      </c>
      <c r="Q915">
        <v>988.11</v>
      </c>
      <c r="R915">
        <v>57.99</v>
      </c>
      <c r="S915">
        <v>35.43</v>
      </c>
      <c r="T915">
        <v>10135.6</v>
      </c>
      <c r="U915">
        <v>0.61</v>
      </c>
      <c r="V915">
        <v>0.85</v>
      </c>
      <c r="W915">
        <v>3.02</v>
      </c>
      <c r="X915">
        <v>0.66</v>
      </c>
      <c r="Y915">
        <v>1</v>
      </c>
      <c r="Z915">
        <v>10</v>
      </c>
    </row>
    <row r="916" spans="1:26" x14ac:dyDescent="0.3">
      <c r="A916">
        <v>12</v>
      </c>
      <c r="B916">
        <v>95</v>
      </c>
      <c r="C916" t="s">
        <v>26</v>
      </c>
      <c r="D916">
        <v>5.8872999999999998</v>
      </c>
      <c r="E916">
        <v>16.989999999999998</v>
      </c>
      <c r="F916">
        <v>13.36</v>
      </c>
      <c r="G916">
        <v>25.86</v>
      </c>
      <c r="H916">
        <v>0.37</v>
      </c>
      <c r="I916">
        <v>31</v>
      </c>
      <c r="J916">
        <v>190.25</v>
      </c>
      <c r="K916">
        <v>53.44</v>
      </c>
      <c r="L916">
        <v>4</v>
      </c>
      <c r="M916">
        <v>29</v>
      </c>
      <c r="N916">
        <v>37.82</v>
      </c>
      <c r="O916">
        <v>23698.48</v>
      </c>
      <c r="P916">
        <v>167.55</v>
      </c>
      <c r="Q916">
        <v>988.24</v>
      </c>
      <c r="R916">
        <v>56.67</v>
      </c>
      <c r="S916">
        <v>35.43</v>
      </c>
      <c r="T916">
        <v>9490.8799999999992</v>
      </c>
      <c r="U916">
        <v>0.63</v>
      </c>
      <c r="V916">
        <v>0.85</v>
      </c>
      <c r="W916">
        <v>3.02</v>
      </c>
      <c r="X916">
        <v>0.61</v>
      </c>
      <c r="Y916">
        <v>1</v>
      </c>
      <c r="Z916">
        <v>10</v>
      </c>
    </row>
    <row r="917" spans="1:26" x14ac:dyDescent="0.3">
      <c r="A917">
        <v>13</v>
      </c>
      <c r="B917">
        <v>95</v>
      </c>
      <c r="C917" t="s">
        <v>26</v>
      </c>
      <c r="D917">
        <v>5.9326999999999996</v>
      </c>
      <c r="E917">
        <v>16.86</v>
      </c>
      <c r="F917">
        <v>13.31</v>
      </c>
      <c r="G917">
        <v>27.53</v>
      </c>
      <c r="H917">
        <v>0.4</v>
      </c>
      <c r="I917">
        <v>29</v>
      </c>
      <c r="J917">
        <v>190.63</v>
      </c>
      <c r="K917">
        <v>53.44</v>
      </c>
      <c r="L917">
        <v>4.25</v>
      </c>
      <c r="M917">
        <v>27</v>
      </c>
      <c r="N917">
        <v>37.950000000000003</v>
      </c>
      <c r="O917">
        <v>23745.63</v>
      </c>
      <c r="P917">
        <v>165.67</v>
      </c>
      <c r="Q917">
        <v>988.19</v>
      </c>
      <c r="R917">
        <v>54.9</v>
      </c>
      <c r="S917">
        <v>35.43</v>
      </c>
      <c r="T917">
        <v>8615.6</v>
      </c>
      <c r="U917">
        <v>0.65</v>
      </c>
      <c r="V917">
        <v>0.86</v>
      </c>
      <c r="W917">
        <v>3.01</v>
      </c>
      <c r="X917">
        <v>0.55000000000000004</v>
      </c>
      <c r="Y917">
        <v>1</v>
      </c>
      <c r="Z917">
        <v>10</v>
      </c>
    </row>
    <row r="918" spans="1:26" x14ac:dyDescent="0.3">
      <c r="A918">
        <v>14</v>
      </c>
      <c r="B918">
        <v>95</v>
      </c>
      <c r="C918" t="s">
        <v>26</v>
      </c>
      <c r="D918">
        <v>5.9421999999999997</v>
      </c>
      <c r="E918">
        <v>16.829999999999998</v>
      </c>
      <c r="F918">
        <v>13.32</v>
      </c>
      <c r="G918">
        <v>28.54</v>
      </c>
      <c r="H918">
        <v>0.42</v>
      </c>
      <c r="I918">
        <v>28</v>
      </c>
      <c r="J918">
        <v>191.02</v>
      </c>
      <c r="K918">
        <v>53.44</v>
      </c>
      <c r="L918">
        <v>4.5</v>
      </c>
      <c r="M918">
        <v>26</v>
      </c>
      <c r="N918">
        <v>38.08</v>
      </c>
      <c r="O918">
        <v>23792.83</v>
      </c>
      <c r="P918">
        <v>164.68</v>
      </c>
      <c r="Q918">
        <v>988.21</v>
      </c>
      <c r="R918">
        <v>55.36</v>
      </c>
      <c r="S918">
        <v>35.43</v>
      </c>
      <c r="T918">
        <v>8850.42</v>
      </c>
      <c r="U918">
        <v>0.64</v>
      </c>
      <c r="V918">
        <v>0.86</v>
      </c>
      <c r="W918">
        <v>3.01</v>
      </c>
      <c r="X918">
        <v>0.56000000000000005</v>
      </c>
      <c r="Y918">
        <v>1</v>
      </c>
      <c r="Z918">
        <v>10</v>
      </c>
    </row>
    <row r="919" spans="1:26" x14ac:dyDescent="0.3">
      <c r="A919">
        <v>15</v>
      </c>
      <c r="B919">
        <v>95</v>
      </c>
      <c r="C919" t="s">
        <v>26</v>
      </c>
      <c r="D919">
        <v>5.9890999999999996</v>
      </c>
      <c r="E919">
        <v>16.7</v>
      </c>
      <c r="F919">
        <v>13.26</v>
      </c>
      <c r="G919">
        <v>30.6</v>
      </c>
      <c r="H919">
        <v>0.44</v>
      </c>
      <c r="I919">
        <v>26</v>
      </c>
      <c r="J919">
        <v>191.4</v>
      </c>
      <c r="K919">
        <v>53.44</v>
      </c>
      <c r="L919">
        <v>4.75</v>
      </c>
      <c r="M919">
        <v>24</v>
      </c>
      <c r="N919">
        <v>38.22</v>
      </c>
      <c r="O919">
        <v>23840.07</v>
      </c>
      <c r="P919">
        <v>163.03</v>
      </c>
      <c r="Q919">
        <v>988.15</v>
      </c>
      <c r="R919">
        <v>53.29</v>
      </c>
      <c r="S919">
        <v>35.43</v>
      </c>
      <c r="T919">
        <v>7826.92</v>
      </c>
      <c r="U919">
        <v>0.66</v>
      </c>
      <c r="V919">
        <v>0.86</v>
      </c>
      <c r="W919">
        <v>3.01</v>
      </c>
      <c r="X919">
        <v>0.51</v>
      </c>
      <c r="Y919">
        <v>1</v>
      </c>
      <c r="Z919">
        <v>10</v>
      </c>
    </row>
    <row r="920" spans="1:26" x14ac:dyDescent="0.3">
      <c r="A920">
        <v>16</v>
      </c>
      <c r="B920">
        <v>95</v>
      </c>
      <c r="C920" t="s">
        <v>26</v>
      </c>
      <c r="D920">
        <v>6.0124000000000004</v>
      </c>
      <c r="E920">
        <v>16.63</v>
      </c>
      <c r="F920">
        <v>13.23</v>
      </c>
      <c r="G920">
        <v>31.76</v>
      </c>
      <c r="H920">
        <v>0.46</v>
      </c>
      <c r="I920">
        <v>25</v>
      </c>
      <c r="J920">
        <v>191.78</v>
      </c>
      <c r="K920">
        <v>53.44</v>
      </c>
      <c r="L920">
        <v>5</v>
      </c>
      <c r="M920">
        <v>23</v>
      </c>
      <c r="N920">
        <v>38.35</v>
      </c>
      <c r="O920">
        <v>23887.360000000001</v>
      </c>
      <c r="P920">
        <v>161.38999999999999</v>
      </c>
      <c r="Q920">
        <v>988.13</v>
      </c>
      <c r="R920">
        <v>52.55</v>
      </c>
      <c r="S920">
        <v>35.43</v>
      </c>
      <c r="T920">
        <v>7460.3</v>
      </c>
      <c r="U920">
        <v>0.67</v>
      </c>
      <c r="V920">
        <v>0.86</v>
      </c>
      <c r="W920">
        <v>3.01</v>
      </c>
      <c r="X920">
        <v>0.48</v>
      </c>
      <c r="Y920">
        <v>1</v>
      </c>
      <c r="Z920">
        <v>10</v>
      </c>
    </row>
    <row r="921" spans="1:26" x14ac:dyDescent="0.3">
      <c r="A921">
        <v>17</v>
      </c>
      <c r="B921">
        <v>95</v>
      </c>
      <c r="C921" t="s">
        <v>26</v>
      </c>
      <c r="D921">
        <v>6.0518000000000001</v>
      </c>
      <c r="E921">
        <v>16.52</v>
      </c>
      <c r="F921">
        <v>13.2</v>
      </c>
      <c r="G921">
        <v>34.43</v>
      </c>
      <c r="H921">
        <v>0.48</v>
      </c>
      <c r="I921">
        <v>23</v>
      </c>
      <c r="J921">
        <v>192.17</v>
      </c>
      <c r="K921">
        <v>53.44</v>
      </c>
      <c r="L921">
        <v>5.25</v>
      </c>
      <c r="M921">
        <v>21</v>
      </c>
      <c r="N921">
        <v>38.479999999999997</v>
      </c>
      <c r="O921">
        <v>23934.69</v>
      </c>
      <c r="P921">
        <v>159.88999999999999</v>
      </c>
      <c r="Q921">
        <v>988.11</v>
      </c>
      <c r="R921">
        <v>51.71</v>
      </c>
      <c r="S921">
        <v>35.43</v>
      </c>
      <c r="T921">
        <v>7052.45</v>
      </c>
      <c r="U921">
        <v>0.69</v>
      </c>
      <c r="V921">
        <v>0.86</v>
      </c>
      <c r="W921">
        <v>3</v>
      </c>
      <c r="X921">
        <v>0.45</v>
      </c>
      <c r="Y921">
        <v>1</v>
      </c>
      <c r="Z921">
        <v>10</v>
      </c>
    </row>
    <row r="922" spans="1:26" x14ac:dyDescent="0.3">
      <c r="A922">
        <v>18</v>
      </c>
      <c r="B922">
        <v>95</v>
      </c>
      <c r="C922" t="s">
        <v>26</v>
      </c>
      <c r="D922">
        <v>6.0754999999999999</v>
      </c>
      <c r="E922">
        <v>16.46</v>
      </c>
      <c r="F922">
        <v>13.17</v>
      </c>
      <c r="G922">
        <v>35.92</v>
      </c>
      <c r="H922">
        <v>0.51</v>
      </c>
      <c r="I922">
        <v>22</v>
      </c>
      <c r="J922">
        <v>192.55</v>
      </c>
      <c r="K922">
        <v>53.44</v>
      </c>
      <c r="L922">
        <v>5.5</v>
      </c>
      <c r="M922">
        <v>20</v>
      </c>
      <c r="N922">
        <v>38.619999999999997</v>
      </c>
      <c r="O922">
        <v>23982.06</v>
      </c>
      <c r="P922">
        <v>158.62</v>
      </c>
      <c r="Q922">
        <v>988.12</v>
      </c>
      <c r="R922">
        <v>50.66</v>
      </c>
      <c r="S922">
        <v>35.43</v>
      </c>
      <c r="T922">
        <v>6531.64</v>
      </c>
      <c r="U922">
        <v>0.7</v>
      </c>
      <c r="V922">
        <v>0.87</v>
      </c>
      <c r="W922">
        <v>3</v>
      </c>
      <c r="X922">
        <v>0.42</v>
      </c>
      <c r="Y922">
        <v>1</v>
      </c>
      <c r="Z922">
        <v>10</v>
      </c>
    </row>
    <row r="923" spans="1:26" x14ac:dyDescent="0.3">
      <c r="A923">
        <v>19</v>
      </c>
      <c r="B923">
        <v>95</v>
      </c>
      <c r="C923" t="s">
        <v>26</v>
      </c>
      <c r="D923">
        <v>6.0914999999999999</v>
      </c>
      <c r="E923">
        <v>16.420000000000002</v>
      </c>
      <c r="F923">
        <v>13.17</v>
      </c>
      <c r="G923">
        <v>37.619999999999997</v>
      </c>
      <c r="H923">
        <v>0.53</v>
      </c>
      <c r="I923">
        <v>21</v>
      </c>
      <c r="J923">
        <v>192.94</v>
      </c>
      <c r="K923">
        <v>53.44</v>
      </c>
      <c r="L923">
        <v>5.75</v>
      </c>
      <c r="M923">
        <v>19</v>
      </c>
      <c r="N923">
        <v>38.75</v>
      </c>
      <c r="O923">
        <v>24029.48</v>
      </c>
      <c r="P923">
        <v>157.21</v>
      </c>
      <c r="Q923">
        <v>988.09</v>
      </c>
      <c r="R923">
        <v>50.57</v>
      </c>
      <c r="S923">
        <v>35.43</v>
      </c>
      <c r="T923">
        <v>6492.51</v>
      </c>
      <c r="U923">
        <v>0.7</v>
      </c>
      <c r="V923">
        <v>0.87</v>
      </c>
      <c r="W923">
        <v>3</v>
      </c>
      <c r="X923">
        <v>0.41</v>
      </c>
      <c r="Y923">
        <v>1</v>
      </c>
      <c r="Z923">
        <v>10</v>
      </c>
    </row>
    <row r="924" spans="1:26" x14ac:dyDescent="0.3">
      <c r="A924">
        <v>20</v>
      </c>
      <c r="B924">
        <v>95</v>
      </c>
      <c r="C924" t="s">
        <v>26</v>
      </c>
      <c r="D924">
        <v>6.1222000000000003</v>
      </c>
      <c r="E924">
        <v>16.329999999999998</v>
      </c>
      <c r="F924">
        <v>13.12</v>
      </c>
      <c r="G924">
        <v>39.36</v>
      </c>
      <c r="H924">
        <v>0.55000000000000004</v>
      </c>
      <c r="I924">
        <v>20</v>
      </c>
      <c r="J924">
        <v>193.32</v>
      </c>
      <c r="K924">
        <v>53.44</v>
      </c>
      <c r="L924">
        <v>6</v>
      </c>
      <c r="M924">
        <v>18</v>
      </c>
      <c r="N924">
        <v>38.89</v>
      </c>
      <c r="O924">
        <v>24076.95</v>
      </c>
      <c r="P924">
        <v>155.78</v>
      </c>
      <c r="Q924">
        <v>988.18</v>
      </c>
      <c r="R924">
        <v>49.03</v>
      </c>
      <c r="S924">
        <v>35.43</v>
      </c>
      <c r="T924">
        <v>5727.66</v>
      </c>
      <c r="U924">
        <v>0.72</v>
      </c>
      <c r="V924">
        <v>0.87</v>
      </c>
      <c r="W924">
        <v>3</v>
      </c>
      <c r="X924">
        <v>0.37</v>
      </c>
      <c r="Y924">
        <v>1</v>
      </c>
      <c r="Z924">
        <v>10</v>
      </c>
    </row>
    <row r="925" spans="1:26" x14ac:dyDescent="0.3">
      <c r="A925">
        <v>21</v>
      </c>
      <c r="B925">
        <v>95</v>
      </c>
      <c r="C925" t="s">
        <v>26</v>
      </c>
      <c r="D925">
        <v>6.1441999999999997</v>
      </c>
      <c r="E925">
        <v>16.28</v>
      </c>
      <c r="F925">
        <v>13.1</v>
      </c>
      <c r="G925">
        <v>41.37</v>
      </c>
      <c r="H925">
        <v>0.56999999999999995</v>
      </c>
      <c r="I925">
        <v>19</v>
      </c>
      <c r="J925">
        <v>193.71</v>
      </c>
      <c r="K925">
        <v>53.44</v>
      </c>
      <c r="L925">
        <v>6.25</v>
      </c>
      <c r="M925">
        <v>17</v>
      </c>
      <c r="N925">
        <v>39.020000000000003</v>
      </c>
      <c r="O925">
        <v>24124.47</v>
      </c>
      <c r="P925">
        <v>154.24</v>
      </c>
      <c r="Q925">
        <v>988.18</v>
      </c>
      <c r="R925">
        <v>48.62</v>
      </c>
      <c r="S925">
        <v>35.43</v>
      </c>
      <c r="T925">
        <v>5527.27</v>
      </c>
      <c r="U925">
        <v>0.73</v>
      </c>
      <c r="V925">
        <v>0.87</v>
      </c>
      <c r="W925">
        <v>2.99</v>
      </c>
      <c r="X925">
        <v>0.35</v>
      </c>
      <c r="Y925">
        <v>1</v>
      </c>
      <c r="Z925">
        <v>10</v>
      </c>
    </row>
    <row r="926" spans="1:26" x14ac:dyDescent="0.3">
      <c r="A926">
        <v>22</v>
      </c>
      <c r="B926">
        <v>95</v>
      </c>
      <c r="C926" t="s">
        <v>26</v>
      </c>
      <c r="D926">
        <v>6.1628999999999996</v>
      </c>
      <c r="E926">
        <v>16.23</v>
      </c>
      <c r="F926">
        <v>13.09</v>
      </c>
      <c r="G926">
        <v>43.62</v>
      </c>
      <c r="H926">
        <v>0.59</v>
      </c>
      <c r="I926">
        <v>18</v>
      </c>
      <c r="J926">
        <v>194.09</v>
      </c>
      <c r="K926">
        <v>53.44</v>
      </c>
      <c r="L926">
        <v>6.5</v>
      </c>
      <c r="M926">
        <v>16</v>
      </c>
      <c r="N926">
        <v>39.159999999999997</v>
      </c>
      <c r="O926">
        <v>24172.03</v>
      </c>
      <c r="P926">
        <v>152.96</v>
      </c>
      <c r="Q926">
        <v>988.2</v>
      </c>
      <c r="R926">
        <v>48.05</v>
      </c>
      <c r="S926">
        <v>35.43</v>
      </c>
      <c r="T926">
        <v>5245.37</v>
      </c>
      <c r="U926">
        <v>0.74</v>
      </c>
      <c r="V926">
        <v>0.87</v>
      </c>
      <c r="W926">
        <v>3</v>
      </c>
      <c r="X926">
        <v>0.33</v>
      </c>
      <c r="Y926">
        <v>1</v>
      </c>
      <c r="Z926">
        <v>10</v>
      </c>
    </row>
    <row r="927" spans="1:26" x14ac:dyDescent="0.3">
      <c r="A927">
        <v>23</v>
      </c>
      <c r="B927">
        <v>95</v>
      </c>
      <c r="C927" t="s">
        <v>26</v>
      </c>
      <c r="D927">
        <v>6.1806999999999999</v>
      </c>
      <c r="E927">
        <v>16.18</v>
      </c>
      <c r="F927">
        <v>13.08</v>
      </c>
      <c r="G927">
        <v>46.16</v>
      </c>
      <c r="H927">
        <v>0.62</v>
      </c>
      <c r="I927">
        <v>17</v>
      </c>
      <c r="J927">
        <v>194.48</v>
      </c>
      <c r="K927">
        <v>53.44</v>
      </c>
      <c r="L927">
        <v>6.75</v>
      </c>
      <c r="M927">
        <v>15</v>
      </c>
      <c r="N927">
        <v>39.29</v>
      </c>
      <c r="O927">
        <v>24219.63</v>
      </c>
      <c r="P927">
        <v>149.94</v>
      </c>
      <c r="Q927">
        <v>988.1</v>
      </c>
      <c r="R927">
        <v>47.92</v>
      </c>
      <c r="S927">
        <v>35.43</v>
      </c>
      <c r="T927">
        <v>5188.29</v>
      </c>
      <c r="U927">
        <v>0.74</v>
      </c>
      <c r="V927">
        <v>0.87</v>
      </c>
      <c r="W927">
        <v>2.99</v>
      </c>
      <c r="X927">
        <v>0.32</v>
      </c>
      <c r="Y927">
        <v>1</v>
      </c>
      <c r="Z927">
        <v>10</v>
      </c>
    </row>
    <row r="928" spans="1:26" x14ac:dyDescent="0.3">
      <c r="A928">
        <v>24</v>
      </c>
      <c r="B928">
        <v>95</v>
      </c>
      <c r="C928" t="s">
        <v>26</v>
      </c>
      <c r="D928">
        <v>6.1794000000000002</v>
      </c>
      <c r="E928">
        <v>16.18</v>
      </c>
      <c r="F928">
        <v>13.08</v>
      </c>
      <c r="G928">
        <v>46.17</v>
      </c>
      <c r="H928">
        <v>0.64</v>
      </c>
      <c r="I928">
        <v>17</v>
      </c>
      <c r="J928">
        <v>194.86</v>
      </c>
      <c r="K928">
        <v>53.44</v>
      </c>
      <c r="L928">
        <v>7</v>
      </c>
      <c r="M928">
        <v>15</v>
      </c>
      <c r="N928">
        <v>39.43</v>
      </c>
      <c r="O928">
        <v>24267.279999999999</v>
      </c>
      <c r="P928">
        <v>149.68</v>
      </c>
      <c r="Q928">
        <v>988.14</v>
      </c>
      <c r="R928">
        <v>48.01</v>
      </c>
      <c r="S928">
        <v>35.43</v>
      </c>
      <c r="T928">
        <v>5230.24</v>
      </c>
      <c r="U928">
        <v>0.74</v>
      </c>
      <c r="V928">
        <v>0.87</v>
      </c>
      <c r="W928">
        <v>2.99</v>
      </c>
      <c r="X928">
        <v>0.33</v>
      </c>
      <c r="Y928">
        <v>1</v>
      </c>
      <c r="Z928">
        <v>10</v>
      </c>
    </row>
    <row r="929" spans="1:26" x14ac:dyDescent="0.3">
      <c r="A929">
        <v>25</v>
      </c>
      <c r="B929">
        <v>95</v>
      </c>
      <c r="C929" t="s">
        <v>26</v>
      </c>
      <c r="D929">
        <v>6.2065999999999999</v>
      </c>
      <c r="E929">
        <v>16.11</v>
      </c>
      <c r="F929">
        <v>13.05</v>
      </c>
      <c r="G929">
        <v>48.93</v>
      </c>
      <c r="H929">
        <v>0.66</v>
      </c>
      <c r="I929">
        <v>16</v>
      </c>
      <c r="J929">
        <v>195.25</v>
      </c>
      <c r="K929">
        <v>53.44</v>
      </c>
      <c r="L929">
        <v>7.25</v>
      </c>
      <c r="M929">
        <v>14</v>
      </c>
      <c r="N929">
        <v>39.57</v>
      </c>
      <c r="O929">
        <v>24314.98</v>
      </c>
      <c r="P929">
        <v>148.66</v>
      </c>
      <c r="Q929">
        <v>988.09</v>
      </c>
      <c r="R929">
        <v>46.94</v>
      </c>
      <c r="S929">
        <v>35.43</v>
      </c>
      <c r="T929">
        <v>4700.28</v>
      </c>
      <c r="U929">
        <v>0.75</v>
      </c>
      <c r="V929">
        <v>0.87</v>
      </c>
      <c r="W929">
        <v>2.99</v>
      </c>
      <c r="X929">
        <v>0.28999999999999998</v>
      </c>
      <c r="Y929">
        <v>1</v>
      </c>
      <c r="Z929">
        <v>10</v>
      </c>
    </row>
    <row r="930" spans="1:26" x14ac:dyDescent="0.3">
      <c r="A930">
        <v>26</v>
      </c>
      <c r="B930">
        <v>95</v>
      </c>
      <c r="C930" t="s">
        <v>26</v>
      </c>
      <c r="D930">
        <v>6.2214999999999998</v>
      </c>
      <c r="E930">
        <v>16.07</v>
      </c>
      <c r="F930">
        <v>13.05</v>
      </c>
      <c r="G930">
        <v>52.19</v>
      </c>
      <c r="H930">
        <v>0.68</v>
      </c>
      <c r="I930">
        <v>15</v>
      </c>
      <c r="J930">
        <v>195.64</v>
      </c>
      <c r="K930">
        <v>53.44</v>
      </c>
      <c r="L930">
        <v>7.5</v>
      </c>
      <c r="M930">
        <v>13</v>
      </c>
      <c r="N930">
        <v>39.700000000000003</v>
      </c>
      <c r="O930">
        <v>24362.73</v>
      </c>
      <c r="P930">
        <v>146.51</v>
      </c>
      <c r="Q930">
        <v>988.08</v>
      </c>
      <c r="R930">
        <v>46.69</v>
      </c>
      <c r="S930">
        <v>35.43</v>
      </c>
      <c r="T930">
        <v>4579.46</v>
      </c>
      <c r="U930">
        <v>0.76</v>
      </c>
      <c r="V930">
        <v>0.87</v>
      </c>
      <c r="W930">
        <v>3</v>
      </c>
      <c r="X930">
        <v>0.28999999999999998</v>
      </c>
      <c r="Y930">
        <v>1</v>
      </c>
      <c r="Z930">
        <v>10</v>
      </c>
    </row>
    <row r="931" spans="1:26" x14ac:dyDescent="0.3">
      <c r="A931">
        <v>27</v>
      </c>
      <c r="B931">
        <v>95</v>
      </c>
      <c r="C931" t="s">
        <v>26</v>
      </c>
      <c r="D931">
        <v>6.2305999999999999</v>
      </c>
      <c r="E931">
        <v>16.05</v>
      </c>
      <c r="F931">
        <v>13.02</v>
      </c>
      <c r="G931">
        <v>52.09</v>
      </c>
      <c r="H931">
        <v>0.7</v>
      </c>
      <c r="I931">
        <v>15</v>
      </c>
      <c r="J931">
        <v>196.03</v>
      </c>
      <c r="K931">
        <v>53.44</v>
      </c>
      <c r="L931">
        <v>7.75</v>
      </c>
      <c r="M931">
        <v>13</v>
      </c>
      <c r="N931">
        <v>39.840000000000003</v>
      </c>
      <c r="O931">
        <v>24410.52</v>
      </c>
      <c r="P931">
        <v>145.44</v>
      </c>
      <c r="Q931">
        <v>988.12</v>
      </c>
      <c r="R931">
        <v>46.22</v>
      </c>
      <c r="S931">
        <v>35.43</v>
      </c>
      <c r="T931">
        <v>4344.8500000000004</v>
      </c>
      <c r="U931">
        <v>0.77</v>
      </c>
      <c r="V931">
        <v>0.88</v>
      </c>
      <c r="W931">
        <v>2.99</v>
      </c>
      <c r="X931">
        <v>0.27</v>
      </c>
      <c r="Y931">
        <v>1</v>
      </c>
      <c r="Z931">
        <v>10</v>
      </c>
    </row>
    <row r="932" spans="1:26" x14ac:dyDescent="0.3">
      <c r="A932">
        <v>28</v>
      </c>
      <c r="B932">
        <v>95</v>
      </c>
      <c r="C932" t="s">
        <v>26</v>
      </c>
      <c r="D932">
        <v>6.2526000000000002</v>
      </c>
      <c r="E932">
        <v>15.99</v>
      </c>
      <c r="F932">
        <v>13</v>
      </c>
      <c r="G932">
        <v>55.73</v>
      </c>
      <c r="H932">
        <v>0.72</v>
      </c>
      <c r="I932">
        <v>14</v>
      </c>
      <c r="J932">
        <v>196.41</v>
      </c>
      <c r="K932">
        <v>53.44</v>
      </c>
      <c r="L932">
        <v>8</v>
      </c>
      <c r="M932">
        <v>12</v>
      </c>
      <c r="N932">
        <v>39.979999999999997</v>
      </c>
      <c r="O932">
        <v>24458.36</v>
      </c>
      <c r="P932">
        <v>143.63</v>
      </c>
      <c r="Q932">
        <v>988.1</v>
      </c>
      <c r="R932">
        <v>45.54</v>
      </c>
      <c r="S932">
        <v>35.43</v>
      </c>
      <c r="T932">
        <v>4010.82</v>
      </c>
      <c r="U932">
        <v>0.78</v>
      </c>
      <c r="V932">
        <v>0.88</v>
      </c>
      <c r="W932">
        <v>2.98</v>
      </c>
      <c r="X932">
        <v>0.25</v>
      </c>
      <c r="Y932">
        <v>1</v>
      </c>
      <c r="Z932">
        <v>10</v>
      </c>
    </row>
    <row r="933" spans="1:26" x14ac:dyDescent="0.3">
      <c r="A933">
        <v>29</v>
      </c>
      <c r="B933">
        <v>95</v>
      </c>
      <c r="C933" t="s">
        <v>26</v>
      </c>
      <c r="D933">
        <v>6.2556000000000003</v>
      </c>
      <c r="E933">
        <v>15.99</v>
      </c>
      <c r="F933">
        <v>13</v>
      </c>
      <c r="G933">
        <v>55.7</v>
      </c>
      <c r="H933">
        <v>0.74</v>
      </c>
      <c r="I933">
        <v>14</v>
      </c>
      <c r="J933">
        <v>196.8</v>
      </c>
      <c r="K933">
        <v>53.44</v>
      </c>
      <c r="L933">
        <v>8.25</v>
      </c>
      <c r="M933">
        <v>12</v>
      </c>
      <c r="N933">
        <v>40.119999999999997</v>
      </c>
      <c r="O933">
        <v>24506.240000000002</v>
      </c>
      <c r="P933">
        <v>142.66</v>
      </c>
      <c r="Q933">
        <v>988.12</v>
      </c>
      <c r="R933">
        <v>45.17</v>
      </c>
      <c r="S933">
        <v>35.43</v>
      </c>
      <c r="T933">
        <v>3826.48</v>
      </c>
      <c r="U933">
        <v>0.78</v>
      </c>
      <c r="V933">
        <v>0.88</v>
      </c>
      <c r="W933">
        <v>2.99</v>
      </c>
      <c r="X933">
        <v>0.24</v>
      </c>
      <c r="Y933">
        <v>1</v>
      </c>
      <c r="Z933">
        <v>10</v>
      </c>
    </row>
    <row r="934" spans="1:26" x14ac:dyDescent="0.3">
      <c r="A934">
        <v>30</v>
      </c>
      <c r="B934">
        <v>95</v>
      </c>
      <c r="C934" t="s">
        <v>26</v>
      </c>
      <c r="D934">
        <v>6.2706</v>
      </c>
      <c r="E934">
        <v>15.95</v>
      </c>
      <c r="F934">
        <v>12.99</v>
      </c>
      <c r="G934">
        <v>59.98</v>
      </c>
      <c r="H934">
        <v>0.77</v>
      </c>
      <c r="I934">
        <v>13</v>
      </c>
      <c r="J934">
        <v>197.19</v>
      </c>
      <c r="K934">
        <v>53.44</v>
      </c>
      <c r="L934">
        <v>8.5</v>
      </c>
      <c r="M934">
        <v>11</v>
      </c>
      <c r="N934">
        <v>40.26</v>
      </c>
      <c r="O934">
        <v>24554.18</v>
      </c>
      <c r="P934">
        <v>140.88</v>
      </c>
      <c r="Q934">
        <v>988.17</v>
      </c>
      <c r="R934">
        <v>45.27</v>
      </c>
      <c r="S934">
        <v>35.43</v>
      </c>
      <c r="T934">
        <v>3879.17</v>
      </c>
      <c r="U934">
        <v>0.78</v>
      </c>
      <c r="V934">
        <v>0.88</v>
      </c>
      <c r="W934">
        <v>2.99</v>
      </c>
      <c r="X934">
        <v>0.24</v>
      </c>
      <c r="Y934">
        <v>1</v>
      </c>
      <c r="Z934">
        <v>10</v>
      </c>
    </row>
    <row r="935" spans="1:26" x14ac:dyDescent="0.3">
      <c r="A935">
        <v>31</v>
      </c>
      <c r="B935">
        <v>95</v>
      </c>
      <c r="C935" t="s">
        <v>26</v>
      </c>
      <c r="D935">
        <v>6.2713000000000001</v>
      </c>
      <c r="E935">
        <v>15.95</v>
      </c>
      <c r="F935">
        <v>12.99</v>
      </c>
      <c r="G935">
        <v>59.97</v>
      </c>
      <c r="H935">
        <v>0.79</v>
      </c>
      <c r="I935">
        <v>13</v>
      </c>
      <c r="J935">
        <v>197.58</v>
      </c>
      <c r="K935">
        <v>53.44</v>
      </c>
      <c r="L935">
        <v>8.75</v>
      </c>
      <c r="M935">
        <v>10</v>
      </c>
      <c r="N935">
        <v>40.39</v>
      </c>
      <c r="O935">
        <v>24602.15</v>
      </c>
      <c r="P935">
        <v>139.82</v>
      </c>
      <c r="Q935">
        <v>988.18</v>
      </c>
      <c r="R935">
        <v>45.17</v>
      </c>
      <c r="S935">
        <v>35.43</v>
      </c>
      <c r="T935">
        <v>3828.92</v>
      </c>
      <c r="U935">
        <v>0.78</v>
      </c>
      <c r="V935">
        <v>0.88</v>
      </c>
      <c r="W935">
        <v>2.99</v>
      </c>
      <c r="X935">
        <v>0.24</v>
      </c>
      <c r="Y935">
        <v>1</v>
      </c>
      <c r="Z935">
        <v>10</v>
      </c>
    </row>
    <row r="936" spans="1:26" x14ac:dyDescent="0.3">
      <c r="A936">
        <v>32</v>
      </c>
      <c r="B936">
        <v>95</v>
      </c>
      <c r="C936" t="s">
        <v>26</v>
      </c>
      <c r="D936">
        <v>6.2946999999999997</v>
      </c>
      <c r="E936">
        <v>15.89</v>
      </c>
      <c r="F936">
        <v>12.97</v>
      </c>
      <c r="G936">
        <v>64.86</v>
      </c>
      <c r="H936">
        <v>0.81</v>
      </c>
      <c r="I936">
        <v>12</v>
      </c>
      <c r="J936">
        <v>197.97</v>
      </c>
      <c r="K936">
        <v>53.44</v>
      </c>
      <c r="L936">
        <v>9</v>
      </c>
      <c r="M936">
        <v>6</v>
      </c>
      <c r="N936">
        <v>40.53</v>
      </c>
      <c r="O936">
        <v>24650.18</v>
      </c>
      <c r="P936">
        <v>137.16999999999999</v>
      </c>
      <c r="Q936">
        <v>988.16</v>
      </c>
      <c r="R936">
        <v>44.42</v>
      </c>
      <c r="S936">
        <v>35.43</v>
      </c>
      <c r="T936">
        <v>3461.38</v>
      </c>
      <c r="U936">
        <v>0.8</v>
      </c>
      <c r="V936">
        <v>0.88</v>
      </c>
      <c r="W936">
        <v>2.99</v>
      </c>
      <c r="X936">
        <v>0.22</v>
      </c>
      <c r="Y936">
        <v>1</v>
      </c>
      <c r="Z936">
        <v>10</v>
      </c>
    </row>
    <row r="937" spans="1:26" x14ac:dyDescent="0.3">
      <c r="A937">
        <v>33</v>
      </c>
      <c r="B937">
        <v>95</v>
      </c>
      <c r="C937" t="s">
        <v>26</v>
      </c>
      <c r="D937">
        <v>6.2953999999999999</v>
      </c>
      <c r="E937">
        <v>15.88</v>
      </c>
      <c r="F937">
        <v>12.97</v>
      </c>
      <c r="G937">
        <v>64.849999999999994</v>
      </c>
      <c r="H937">
        <v>0.83</v>
      </c>
      <c r="I937">
        <v>12</v>
      </c>
      <c r="J937">
        <v>198.36</v>
      </c>
      <c r="K937">
        <v>53.44</v>
      </c>
      <c r="L937">
        <v>9.25</v>
      </c>
      <c r="M937">
        <v>4</v>
      </c>
      <c r="N937">
        <v>40.67</v>
      </c>
      <c r="O937">
        <v>24698.26</v>
      </c>
      <c r="P937">
        <v>137.16999999999999</v>
      </c>
      <c r="Q937">
        <v>988.1</v>
      </c>
      <c r="R937">
        <v>44.33</v>
      </c>
      <c r="S937">
        <v>35.43</v>
      </c>
      <c r="T937">
        <v>3415.92</v>
      </c>
      <c r="U937">
        <v>0.8</v>
      </c>
      <c r="V937">
        <v>0.88</v>
      </c>
      <c r="W937">
        <v>2.99</v>
      </c>
      <c r="X937">
        <v>0.22</v>
      </c>
      <c r="Y937">
        <v>1</v>
      </c>
      <c r="Z937">
        <v>10</v>
      </c>
    </row>
    <row r="938" spans="1:26" x14ac:dyDescent="0.3">
      <c r="A938">
        <v>34</v>
      </c>
      <c r="B938">
        <v>95</v>
      </c>
      <c r="C938" t="s">
        <v>26</v>
      </c>
      <c r="D938">
        <v>6.2925000000000004</v>
      </c>
      <c r="E938">
        <v>15.89</v>
      </c>
      <c r="F938">
        <v>12.98</v>
      </c>
      <c r="G938">
        <v>64.88</v>
      </c>
      <c r="H938">
        <v>0.85</v>
      </c>
      <c r="I938">
        <v>12</v>
      </c>
      <c r="J938">
        <v>198.75</v>
      </c>
      <c r="K938">
        <v>53.44</v>
      </c>
      <c r="L938">
        <v>9.5</v>
      </c>
      <c r="M938">
        <v>3</v>
      </c>
      <c r="N938">
        <v>40.81</v>
      </c>
      <c r="O938">
        <v>24746.38</v>
      </c>
      <c r="P938">
        <v>136.91</v>
      </c>
      <c r="Q938">
        <v>988.12</v>
      </c>
      <c r="R938">
        <v>44.29</v>
      </c>
      <c r="S938">
        <v>35.43</v>
      </c>
      <c r="T938">
        <v>3398.09</v>
      </c>
      <c r="U938">
        <v>0.8</v>
      </c>
      <c r="V938">
        <v>0.88</v>
      </c>
      <c r="W938">
        <v>2.99</v>
      </c>
      <c r="X938">
        <v>0.22</v>
      </c>
      <c r="Y938">
        <v>1</v>
      </c>
      <c r="Z938">
        <v>10</v>
      </c>
    </row>
    <row r="939" spans="1:26" x14ac:dyDescent="0.3">
      <c r="A939">
        <v>35</v>
      </c>
      <c r="B939">
        <v>95</v>
      </c>
      <c r="C939" t="s">
        <v>26</v>
      </c>
      <c r="D939">
        <v>6.2949999999999999</v>
      </c>
      <c r="E939">
        <v>15.89</v>
      </c>
      <c r="F939">
        <v>12.97</v>
      </c>
      <c r="G939">
        <v>64.849999999999994</v>
      </c>
      <c r="H939">
        <v>0.87</v>
      </c>
      <c r="I939">
        <v>12</v>
      </c>
      <c r="J939">
        <v>199.14</v>
      </c>
      <c r="K939">
        <v>53.44</v>
      </c>
      <c r="L939">
        <v>9.75</v>
      </c>
      <c r="M939">
        <v>2</v>
      </c>
      <c r="N939">
        <v>40.950000000000003</v>
      </c>
      <c r="O939">
        <v>24794.55</v>
      </c>
      <c r="P939">
        <v>136.72999999999999</v>
      </c>
      <c r="Q939">
        <v>988.14</v>
      </c>
      <c r="R939">
        <v>44.21</v>
      </c>
      <c r="S939">
        <v>35.43</v>
      </c>
      <c r="T939">
        <v>3357.01</v>
      </c>
      <c r="U939">
        <v>0.8</v>
      </c>
      <c r="V939">
        <v>0.88</v>
      </c>
      <c r="W939">
        <v>2.99</v>
      </c>
      <c r="X939">
        <v>0.22</v>
      </c>
      <c r="Y939">
        <v>1</v>
      </c>
      <c r="Z939">
        <v>10</v>
      </c>
    </row>
    <row r="940" spans="1:26" x14ac:dyDescent="0.3">
      <c r="A940">
        <v>36</v>
      </c>
      <c r="B940">
        <v>95</v>
      </c>
      <c r="C940" t="s">
        <v>26</v>
      </c>
      <c r="D940">
        <v>6.2938999999999998</v>
      </c>
      <c r="E940">
        <v>15.89</v>
      </c>
      <c r="F940">
        <v>12.97</v>
      </c>
      <c r="G940">
        <v>64.87</v>
      </c>
      <c r="H940">
        <v>0.89</v>
      </c>
      <c r="I940">
        <v>12</v>
      </c>
      <c r="J940">
        <v>199.53</v>
      </c>
      <c r="K940">
        <v>53.44</v>
      </c>
      <c r="L940">
        <v>10</v>
      </c>
      <c r="M940">
        <v>0</v>
      </c>
      <c r="N940">
        <v>41.1</v>
      </c>
      <c r="O940">
        <v>24842.77</v>
      </c>
      <c r="P940">
        <v>136.85</v>
      </c>
      <c r="Q940">
        <v>988.18</v>
      </c>
      <c r="R940">
        <v>44.14</v>
      </c>
      <c r="S940">
        <v>35.43</v>
      </c>
      <c r="T940">
        <v>3320.2</v>
      </c>
      <c r="U940">
        <v>0.8</v>
      </c>
      <c r="V940">
        <v>0.88</v>
      </c>
      <c r="W940">
        <v>3</v>
      </c>
      <c r="X940">
        <v>0.22</v>
      </c>
      <c r="Y940">
        <v>1</v>
      </c>
      <c r="Z940">
        <v>10</v>
      </c>
    </row>
    <row r="941" spans="1:26" x14ac:dyDescent="0.3">
      <c r="A941">
        <v>0</v>
      </c>
      <c r="B941">
        <v>55</v>
      </c>
      <c r="C941" t="s">
        <v>26</v>
      </c>
      <c r="D941">
        <v>5.1524000000000001</v>
      </c>
      <c r="E941">
        <v>19.41</v>
      </c>
      <c r="F941">
        <v>14.84</v>
      </c>
      <c r="G941">
        <v>8.56</v>
      </c>
      <c r="H941">
        <v>0.15</v>
      </c>
      <c r="I941">
        <v>104</v>
      </c>
      <c r="J941">
        <v>116.05</v>
      </c>
      <c r="K941">
        <v>43.4</v>
      </c>
      <c r="L941">
        <v>1</v>
      </c>
      <c r="M941">
        <v>102</v>
      </c>
      <c r="N941">
        <v>16.649999999999999</v>
      </c>
      <c r="O941">
        <v>14546.17</v>
      </c>
      <c r="P941">
        <v>143.91</v>
      </c>
      <c r="Q941">
        <v>988.57</v>
      </c>
      <c r="R941">
        <v>102.63</v>
      </c>
      <c r="S941">
        <v>35.43</v>
      </c>
      <c r="T941">
        <v>32106.22</v>
      </c>
      <c r="U941">
        <v>0.35</v>
      </c>
      <c r="V941">
        <v>0.77</v>
      </c>
      <c r="W941">
        <v>3.13</v>
      </c>
      <c r="X941">
        <v>2.08</v>
      </c>
      <c r="Y941">
        <v>1</v>
      </c>
      <c r="Z941">
        <v>10</v>
      </c>
    </row>
    <row r="942" spans="1:26" x14ac:dyDescent="0.3">
      <c r="A942">
        <v>1</v>
      </c>
      <c r="B942">
        <v>55</v>
      </c>
      <c r="C942" t="s">
        <v>26</v>
      </c>
      <c r="D942">
        <v>5.4526000000000003</v>
      </c>
      <c r="E942">
        <v>18.34</v>
      </c>
      <c r="F942">
        <v>14.34</v>
      </c>
      <c r="G942">
        <v>10.76</v>
      </c>
      <c r="H942">
        <v>0.19</v>
      </c>
      <c r="I942">
        <v>80</v>
      </c>
      <c r="J942">
        <v>116.37</v>
      </c>
      <c r="K942">
        <v>43.4</v>
      </c>
      <c r="L942">
        <v>1.25</v>
      </c>
      <c r="M942">
        <v>78</v>
      </c>
      <c r="N942">
        <v>16.72</v>
      </c>
      <c r="O942">
        <v>14585.96</v>
      </c>
      <c r="P942">
        <v>137.37</v>
      </c>
      <c r="Q942">
        <v>988.39</v>
      </c>
      <c r="R942">
        <v>87.1</v>
      </c>
      <c r="S942">
        <v>35.43</v>
      </c>
      <c r="T942">
        <v>24460.32</v>
      </c>
      <c r="U942">
        <v>0.41</v>
      </c>
      <c r="V942">
        <v>0.79</v>
      </c>
      <c r="W942">
        <v>3.1</v>
      </c>
      <c r="X942">
        <v>1.59</v>
      </c>
      <c r="Y942">
        <v>1</v>
      </c>
      <c r="Z942">
        <v>10</v>
      </c>
    </row>
    <row r="943" spans="1:26" x14ac:dyDescent="0.3">
      <c r="A943">
        <v>2</v>
      </c>
      <c r="B943">
        <v>55</v>
      </c>
      <c r="C943" t="s">
        <v>26</v>
      </c>
      <c r="D943">
        <v>5.6562000000000001</v>
      </c>
      <c r="E943">
        <v>17.68</v>
      </c>
      <c r="F943">
        <v>14.04</v>
      </c>
      <c r="G943">
        <v>12.96</v>
      </c>
      <c r="H943">
        <v>0.23</v>
      </c>
      <c r="I943">
        <v>65</v>
      </c>
      <c r="J943">
        <v>116.69</v>
      </c>
      <c r="K943">
        <v>43.4</v>
      </c>
      <c r="L943">
        <v>1.5</v>
      </c>
      <c r="M943">
        <v>63</v>
      </c>
      <c r="N943">
        <v>16.79</v>
      </c>
      <c r="O943">
        <v>14625.77</v>
      </c>
      <c r="P943">
        <v>132.5</v>
      </c>
      <c r="Q943">
        <v>988.22</v>
      </c>
      <c r="R943">
        <v>77.709999999999994</v>
      </c>
      <c r="S943">
        <v>35.43</v>
      </c>
      <c r="T943">
        <v>19843.05</v>
      </c>
      <c r="U943">
        <v>0.46</v>
      </c>
      <c r="V943">
        <v>0.81</v>
      </c>
      <c r="W943">
        <v>3.07</v>
      </c>
      <c r="X943">
        <v>1.29</v>
      </c>
      <c r="Y943">
        <v>1</v>
      </c>
      <c r="Z943">
        <v>10</v>
      </c>
    </row>
    <row r="944" spans="1:26" x14ac:dyDescent="0.3">
      <c r="A944">
        <v>3</v>
      </c>
      <c r="B944">
        <v>55</v>
      </c>
      <c r="C944" t="s">
        <v>26</v>
      </c>
      <c r="D944">
        <v>5.8129999999999997</v>
      </c>
      <c r="E944">
        <v>17.2</v>
      </c>
      <c r="F944">
        <v>13.83</v>
      </c>
      <c r="G944">
        <v>15.37</v>
      </c>
      <c r="H944">
        <v>0.26</v>
      </c>
      <c r="I944">
        <v>54</v>
      </c>
      <c r="J944">
        <v>117.01</v>
      </c>
      <c r="K944">
        <v>43.4</v>
      </c>
      <c r="L944">
        <v>1.75</v>
      </c>
      <c r="M944">
        <v>52</v>
      </c>
      <c r="N944">
        <v>16.86</v>
      </c>
      <c r="O944">
        <v>14665.62</v>
      </c>
      <c r="P944">
        <v>128.79</v>
      </c>
      <c r="Q944">
        <v>988.14</v>
      </c>
      <c r="R944">
        <v>71.27</v>
      </c>
      <c r="S944">
        <v>35.43</v>
      </c>
      <c r="T944">
        <v>16676.740000000002</v>
      </c>
      <c r="U944">
        <v>0.5</v>
      </c>
      <c r="V944">
        <v>0.82</v>
      </c>
      <c r="W944">
        <v>3.05</v>
      </c>
      <c r="X944">
        <v>1.07</v>
      </c>
      <c r="Y944">
        <v>1</v>
      </c>
      <c r="Z944">
        <v>10</v>
      </c>
    </row>
    <row r="945" spans="1:26" x14ac:dyDescent="0.3">
      <c r="A945">
        <v>4</v>
      </c>
      <c r="B945">
        <v>55</v>
      </c>
      <c r="C945" t="s">
        <v>26</v>
      </c>
      <c r="D945">
        <v>5.9452999999999996</v>
      </c>
      <c r="E945">
        <v>16.82</v>
      </c>
      <c r="F945">
        <v>13.64</v>
      </c>
      <c r="G945">
        <v>17.79</v>
      </c>
      <c r="H945">
        <v>0.3</v>
      </c>
      <c r="I945">
        <v>46</v>
      </c>
      <c r="J945">
        <v>117.34</v>
      </c>
      <c r="K945">
        <v>43.4</v>
      </c>
      <c r="L945">
        <v>2</v>
      </c>
      <c r="M945">
        <v>44</v>
      </c>
      <c r="N945">
        <v>16.940000000000001</v>
      </c>
      <c r="O945">
        <v>14705.49</v>
      </c>
      <c r="P945">
        <v>124.98</v>
      </c>
      <c r="Q945">
        <v>988.24</v>
      </c>
      <c r="R945">
        <v>65.28</v>
      </c>
      <c r="S945">
        <v>35.43</v>
      </c>
      <c r="T945">
        <v>13721.64</v>
      </c>
      <c r="U945">
        <v>0.54</v>
      </c>
      <c r="V945">
        <v>0.84</v>
      </c>
      <c r="W945">
        <v>3.03</v>
      </c>
      <c r="X945">
        <v>0.88</v>
      </c>
      <c r="Y945">
        <v>1</v>
      </c>
      <c r="Z945">
        <v>10</v>
      </c>
    </row>
    <row r="946" spans="1:26" x14ac:dyDescent="0.3">
      <c r="A946">
        <v>5</v>
      </c>
      <c r="B946">
        <v>55</v>
      </c>
      <c r="C946" t="s">
        <v>26</v>
      </c>
      <c r="D946">
        <v>6.0331999999999999</v>
      </c>
      <c r="E946">
        <v>16.579999999999998</v>
      </c>
      <c r="F946">
        <v>13.54</v>
      </c>
      <c r="G946">
        <v>20.3</v>
      </c>
      <c r="H946">
        <v>0.34</v>
      </c>
      <c r="I946">
        <v>40</v>
      </c>
      <c r="J946">
        <v>117.66</v>
      </c>
      <c r="K946">
        <v>43.4</v>
      </c>
      <c r="L946">
        <v>2.25</v>
      </c>
      <c r="M946">
        <v>38</v>
      </c>
      <c r="N946">
        <v>17.010000000000002</v>
      </c>
      <c r="O946">
        <v>14745.39</v>
      </c>
      <c r="P946">
        <v>122.23</v>
      </c>
      <c r="Q946">
        <v>988.28</v>
      </c>
      <c r="R946">
        <v>61.61</v>
      </c>
      <c r="S946">
        <v>35.43</v>
      </c>
      <c r="T946">
        <v>11916.07</v>
      </c>
      <c r="U946">
        <v>0.57999999999999996</v>
      </c>
      <c r="V946">
        <v>0.84</v>
      </c>
      <c r="W946">
        <v>3.04</v>
      </c>
      <c r="X946">
        <v>0.78</v>
      </c>
      <c r="Y946">
        <v>1</v>
      </c>
      <c r="Z946">
        <v>10</v>
      </c>
    </row>
    <row r="947" spans="1:26" x14ac:dyDescent="0.3">
      <c r="A947">
        <v>6</v>
      </c>
      <c r="B947">
        <v>55</v>
      </c>
      <c r="C947" t="s">
        <v>26</v>
      </c>
      <c r="D947">
        <v>6.1013000000000002</v>
      </c>
      <c r="E947">
        <v>16.39</v>
      </c>
      <c r="F947">
        <v>13.45</v>
      </c>
      <c r="G947">
        <v>22.41</v>
      </c>
      <c r="H947">
        <v>0.37</v>
      </c>
      <c r="I947">
        <v>36</v>
      </c>
      <c r="J947">
        <v>117.98</v>
      </c>
      <c r="K947">
        <v>43.4</v>
      </c>
      <c r="L947">
        <v>2.5</v>
      </c>
      <c r="M947">
        <v>34</v>
      </c>
      <c r="N947">
        <v>17.079999999999998</v>
      </c>
      <c r="O947">
        <v>14785.31</v>
      </c>
      <c r="P947">
        <v>119.75</v>
      </c>
      <c r="Q947">
        <v>988.15</v>
      </c>
      <c r="R947">
        <v>59.24</v>
      </c>
      <c r="S947">
        <v>35.43</v>
      </c>
      <c r="T947">
        <v>10750.44</v>
      </c>
      <c r="U947">
        <v>0.6</v>
      </c>
      <c r="V947">
        <v>0.85</v>
      </c>
      <c r="W947">
        <v>3.02</v>
      </c>
      <c r="X947">
        <v>0.69</v>
      </c>
      <c r="Y947">
        <v>1</v>
      </c>
      <c r="Z947">
        <v>10</v>
      </c>
    </row>
    <row r="948" spans="1:26" x14ac:dyDescent="0.3">
      <c r="A948">
        <v>7</v>
      </c>
      <c r="B948">
        <v>55</v>
      </c>
      <c r="C948" t="s">
        <v>26</v>
      </c>
      <c r="D948">
        <v>6.1563999999999997</v>
      </c>
      <c r="E948">
        <v>16.239999999999998</v>
      </c>
      <c r="F948">
        <v>13.39</v>
      </c>
      <c r="G948">
        <v>25.12</v>
      </c>
      <c r="H948">
        <v>0.41</v>
      </c>
      <c r="I948">
        <v>32</v>
      </c>
      <c r="J948">
        <v>118.31</v>
      </c>
      <c r="K948">
        <v>43.4</v>
      </c>
      <c r="L948">
        <v>2.75</v>
      </c>
      <c r="M948">
        <v>30</v>
      </c>
      <c r="N948">
        <v>17.16</v>
      </c>
      <c r="O948">
        <v>14825.26</v>
      </c>
      <c r="P948">
        <v>116.75</v>
      </c>
      <c r="Q948">
        <v>988.13</v>
      </c>
      <c r="R948">
        <v>57.41</v>
      </c>
      <c r="S948">
        <v>35.43</v>
      </c>
      <c r="T948">
        <v>9856.2099999999991</v>
      </c>
      <c r="U948">
        <v>0.62</v>
      </c>
      <c r="V948">
        <v>0.85</v>
      </c>
      <c r="W948">
        <v>3.03</v>
      </c>
      <c r="X948">
        <v>0.64</v>
      </c>
      <c r="Y948">
        <v>1</v>
      </c>
      <c r="Z948">
        <v>10</v>
      </c>
    </row>
    <row r="949" spans="1:26" x14ac:dyDescent="0.3">
      <c r="A949">
        <v>8</v>
      </c>
      <c r="B949">
        <v>55</v>
      </c>
      <c r="C949" t="s">
        <v>26</v>
      </c>
      <c r="D949">
        <v>6.2047999999999996</v>
      </c>
      <c r="E949">
        <v>16.12</v>
      </c>
      <c r="F949">
        <v>13.34</v>
      </c>
      <c r="G949">
        <v>27.6</v>
      </c>
      <c r="H949">
        <v>0.45</v>
      </c>
      <c r="I949">
        <v>29</v>
      </c>
      <c r="J949">
        <v>118.63</v>
      </c>
      <c r="K949">
        <v>43.4</v>
      </c>
      <c r="L949">
        <v>3</v>
      </c>
      <c r="M949">
        <v>27</v>
      </c>
      <c r="N949">
        <v>17.23</v>
      </c>
      <c r="O949">
        <v>14865.24</v>
      </c>
      <c r="P949">
        <v>114.11</v>
      </c>
      <c r="Q949">
        <v>988.17</v>
      </c>
      <c r="R949">
        <v>55.79</v>
      </c>
      <c r="S949">
        <v>35.43</v>
      </c>
      <c r="T949">
        <v>9062.0400000000009</v>
      </c>
      <c r="U949">
        <v>0.64</v>
      </c>
      <c r="V949">
        <v>0.85</v>
      </c>
      <c r="W949">
        <v>3.02</v>
      </c>
      <c r="X949">
        <v>0.59</v>
      </c>
      <c r="Y949">
        <v>1</v>
      </c>
      <c r="Z949">
        <v>10</v>
      </c>
    </row>
    <row r="950" spans="1:26" x14ac:dyDescent="0.3">
      <c r="A950">
        <v>9</v>
      </c>
      <c r="B950">
        <v>55</v>
      </c>
      <c r="C950" t="s">
        <v>26</v>
      </c>
      <c r="D950">
        <v>6.2653999999999996</v>
      </c>
      <c r="E950">
        <v>15.96</v>
      </c>
      <c r="F950">
        <v>13.26</v>
      </c>
      <c r="G950">
        <v>30.59</v>
      </c>
      <c r="H950">
        <v>0.48</v>
      </c>
      <c r="I950">
        <v>26</v>
      </c>
      <c r="J950">
        <v>118.96</v>
      </c>
      <c r="K950">
        <v>43.4</v>
      </c>
      <c r="L950">
        <v>3.25</v>
      </c>
      <c r="M950">
        <v>24</v>
      </c>
      <c r="N950">
        <v>17.309999999999999</v>
      </c>
      <c r="O950">
        <v>14905.25</v>
      </c>
      <c r="P950">
        <v>111.65</v>
      </c>
      <c r="Q950">
        <v>988.17</v>
      </c>
      <c r="R950">
        <v>53.26</v>
      </c>
      <c r="S950">
        <v>35.43</v>
      </c>
      <c r="T950">
        <v>7813.34</v>
      </c>
      <c r="U950">
        <v>0.67</v>
      </c>
      <c r="V950">
        <v>0.86</v>
      </c>
      <c r="W950">
        <v>3.01</v>
      </c>
      <c r="X950">
        <v>0.5</v>
      </c>
      <c r="Y950">
        <v>1</v>
      </c>
      <c r="Z950">
        <v>10</v>
      </c>
    </row>
    <row r="951" spans="1:26" x14ac:dyDescent="0.3">
      <c r="A951">
        <v>10</v>
      </c>
      <c r="B951">
        <v>55</v>
      </c>
      <c r="C951" t="s">
        <v>26</v>
      </c>
      <c r="D951">
        <v>6.3023999999999996</v>
      </c>
      <c r="E951">
        <v>15.87</v>
      </c>
      <c r="F951">
        <v>13.21</v>
      </c>
      <c r="G951">
        <v>33.020000000000003</v>
      </c>
      <c r="H951">
        <v>0.52</v>
      </c>
      <c r="I951">
        <v>24</v>
      </c>
      <c r="J951">
        <v>119.28</v>
      </c>
      <c r="K951">
        <v>43.4</v>
      </c>
      <c r="L951">
        <v>3.5</v>
      </c>
      <c r="M951">
        <v>22</v>
      </c>
      <c r="N951">
        <v>17.38</v>
      </c>
      <c r="O951">
        <v>14945.29</v>
      </c>
      <c r="P951">
        <v>108.71</v>
      </c>
      <c r="Q951">
        <v>988.29</v>
      </c>
      <c r="R951">
        <v>51.67</v>
      </c>
      <c r="S951">
        <v>35.43</v>
      </c>
      <c r="T951">
        <v>7028.38</v>
      </c>
      <c r="U951">
        <v>0.69</v>
      </c>
      <c r="V951">
        <v>0.86</v>
      </c>
      <c r="W951">
        <v>3.01</v>
      </c>
      <c r="X951">
        <v>0.45</v>
      </c>
      <c r="Y951">
        <v>1</v>
      </c>
      <c r="Z951">
        <v>10</v>
      </c>
    </row>
    <row r="952" spans="1:26" x14ac:dyDescent="0.3">
      <c r="A952">
        <v>11</v>
      </c>
      <c r="B952">
        <v>55</v>
      </c>
      <c r="C952" t="s">
        <v>26</v>
      </c>
      <c r="D952">
        <v>6.3319999999999999</v>
      </c>
      <c r="E952">
        <v>15.79</v>
      </c>
      <c r="F952">
        <v>13.18</v>
      </c>
      <c r="G952">
        <v>35.950000000000003</v>
      </c>
      <c r="H952">
        <v>0.55000000000000004</v>
      </c>
      <c r="I952">
        <v>22</v>
      </c>
      <c r="J952">
        <v>119.61</v>
      </c>
      <c r="K952">
        <v>43.4</v>
      </c>
      <c r="L952">
        <v>3.75</v>
      </c>
      <c r="M952">
        <v>19</v>
      </c>
      <c r="N952">
        <v>17.46</v>
      </c>
      <c r="O952">
        <v>14985.35</v>
      </c>
      <c r="P952">
        <v>106.59</v>
      </c>
      <c r="Q952">
        <v>988.13</v>
      </c>
      <c r="R952">
        <v>50.94</v>
      </c>
      <c r="S952">
        <v>35.43</v>
      </c>
      <c r="T952">
        <v>6671.9</v>
      </c>
      <c r="U952">
        <v>0.7</v>
      </c>
      <c r="V952">
        <v>0.86</v>
      </c>
      <c r="W952">
        <v>3.01</v>
      </c>
      <c r="X952">
        <v>0.43</v>
      </c>
      <c r="Y952">
        <v>1</v>
      </c>
      <c r="Z952">
        <v>10</v>
      </c>
    </row>
    <row r="953" spans="1:26" x14ac:dyDescent="0.3">
      <c r="A953">
        <v>12</v>
      </c>
      <c r="B953">
        <v>55</v>
      </c>
      <c r="C953" t="s">
        <v>26</v>
      </c>
      <c r="D953">
        <v>6.3655999999999997</v>
      </c>
      <c r="E953">
        <v>15.71</v>
      </c>
      <c r="F953">
        <v>13.15</v>
      </c>
      <c r="G953">
        <v>39.44</v>
      </c>
      <c r="H953">
        <v>0.59</v>
      </c>
      <c r="I953">
        <v>20</v>
      </c>
      <c r="J953">
        <v>119.93</v>
      </c>
      <c r="K953">
        <v>43.4</v>
      </c>
      <c r="L953">
        <v>4</v>
      </c>
      <c r="M953">
        <v>12</v>
      </c>
      <c r="N953">
        <v>17.53</v>
      </c>
      <c r="O953">
        <v>15025.44</v>
      </c>
      <c r="P953">
        <v>104.41</v>
      </c>
      <c r="Q953">
        <v>988.08</v>
      </c>
      <c r="R953">
        <v>49.51</v>
      </c>
      <c r="S953">
        <v>35.43</v>
      </c>
      <c r="T953">
        <v>5968</v>
      </c>
      <c r="U953">
        <v>0.72</v>
      </c>
      <c r="V953">
        <v>0.87</v>
      </c>
      <c r="W953">
        <v>3.01</v>
      </c>
      <c r="X953">
        <v>0.39</v>
      </c>
      <c r="Y953">
        <v>1</v>
      </c>
      <c r="Z953">
        <v>10</v>
      </c>
    </row>
    <row r="954" spans="1:26" x14ac:dyDescent="0.3">
      <c r="A954">
        <v>13</v>
      </c>
      <c r="B954">
        <v>55</v>
      </c>
      <c r="C954" t="s">
        <v>26</v>
      </c>
      <c r="D954">
        <v>6.3674999999999997</v>
      </c>
      <c r="E954">
        <v>15.7</v>
      </c>
      <c r="F954">
        <v>13.14</v>
      </c>
      <c r="G954">
        <v>39.43</v>
      </c>
      <c r="H954">
        <v>0.62</v>
      </c>
      <c r="I954">
        <v>20</v>
      </c>
      <c r="J954">
        <v>120.26</v>
      </c>
      <c r="K954">
        <v>43.4</v>
      </c>
      <c r="L954">
        <v>4.25</v>
      </c>
      <c r="M954">
        <v>4</v>
      </c>
      <c r="N954">
        <v>17.61</v>
      </c>
      <c r="O954">
        <v>15065.56</v>
      </c>
      <c r="P954">
        <v>103.39</v>
      </c>
      <c r="Q954">
        <v>988.38</v>
      </c>
      <c r="R954">
        <v>49.18</v>
      </c>
      <c r="S954">
        <v>35.43</v>
      </c>
      <c r="T954">
        <v>5798.86</v>
      </c>
      <c r="U954">
        <v>0.72</v>
      </c>
      <c r="V954">
        <v>0.87</v>
      </c>
      <c r="W954">
        <v>3.02</v>
      </c>
      <c r="X954">
        <v>0.39</v>
      </c>
      <c r="Y954">
        <v>1</v>
      </c>
      <c r="Z954">
        <v>10</v>
      </c>
    </row>
    <row r="955" spans="1:26" x14ac:dyDescent="0.3">
      <c r="A955">
        <v>14</v>
      </c>
      <c r="B955">
        <v>55</v>
      </c>
      <c r="C955" t="s">
        <v>26</v>
      </c>
      <c r="D955">
        <v>6.3864999999999998</v>
      </c>
      <c r="E955">
        <v>15.66</v>
      </c>
      <c r="F955">
        <v>13.12</v>
      </c>
      <c r="G955">
        <v>41.43</v>
      </c>
      <c r="H955">
        <v>0.66</v>
      </c>
      <c r="I955">
        <v>19</v>
      </c>
      <c r="J955">
        <v>120.58</v>
      </c>
      <c r="K955">
        <v>43.4</v>
      </c>
      <c r="L955">
        <v>4.5</v>
      </c>
      <c r="M955">
        <v>1</v>
      </c>
      <c r="N955">
        <v>17.68</v>
      </c>
      <c r="O955">
        <v>15105.7</v>
      </c>
      <c r="P955">
        <v>103.16</v>
      </c>
      <c r="Q955">
        <v>988.28</v>
      </c>
      <c r="R955">
        <v>48.46</v>
      </c>
      <c r="S955">
        <v>35.43</v>
      </c>
      <c r="T955">
        <v>5445.7</v>
      </c>
      <c r="U955">
        <v>0.73</v>
      </c>
      <c r="V955">
        <v>0.87</v>
      </c>
      <c r="W955">
        <v>3.02</v>
      </c>
      <c r="X955">
        <v>0.37</v>
      </c>
      <c r="Y955">
        <v>1</v>
      </c>
      <c r="Z955">
        <v>10</v>
      </c>
    </row>
    <row r="956" spans="1:26" x14ac:dyDescent="0.3">
      <c r="A956">
        <v>15</v>
      </c>
      <c r="B956">
        <v>55</v>
      </c>
      <c r="C956" t="s">
        <v>26</v>
      </c>
      <c r="D956">
        <v>6.3860999999999999</v>
      </c>
      <c r="E956">
        <v>15.66</v>
      </c>
      <c r="F956">
        <v>13.12</v>
      </c>
      <c r="G956">
        <v>41.43</v>
      </c>
      <c r="H956">
        <v>0.69</v>
      </c>
      <c r="I956">
        <v>19</v>
      </c>
      <c r="J956">
        <v>120.91</v>
      </c>
      <c r="K956">
        <v>43.4</v>
      </c>
      <c r="L956">
        <v>4.75</v>
      </c>
      <c r="M956">
        <v>0</v>
      </c>
      <c r="N956">
        <v>17.760000000000002</v>
      </c>
      <c r="O956">
        <v>15145.88</v>
      </c>
      <c r="P956">
        <v>103.39</v>
      </c>
      <c r="Q956">
        <v>988.28</v>
      </c>
      <c r="R956">
        <v>48.45</v>
      </c>
      <c r="S956">
        <v>35.43</v>
      </c>
      <c r="T956">
        <v>5438.83</v>
      </c>
      <c r="U956">
        <v>0.73</v>
      </c>
      <c r="V956">
        <v>0.87</v>
      </c>
      <c r="W956">
        <v>3.02</v>
      </c>
      <c r="X956">
        <v>0.37</v>
      </c>
      <c r="Y956">
        <v>1</v>
      </c>
      <c r="Z95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ilha31"/>
  <dimension ref="A1:C961"/>
  <sheetViews>
    <sheetView workbookViewId="0"/>
  </sheetViews>
  <sheetFormatPr defaultRowHeight="14.4" x14ac:dyDescent="0.3"/>
  <sheetData>
    <row r="1" spans="1:3" x14ac:dyDescent="0.3">
      <c r="A1" t="s">
        <v>27</v>
      </c>
    </row>
    <row r="2" spans="1:3" x14ac:dyDescent="0.3">
      <c r="A2" t="s">
        <v>28</v>
      </c>
    </row>
    <row r="3" spans="1:3" x14ac:dyDescent="0.3">
      <c r="A3" t="s">
        <v>29</v>
      </c>
    </row>
    <row r="6" spans="1:3" x14ac:dyDescent="0.3">
      <c r="A6" t="s">
        <v>30</v>
      </c>
      <c r="B6" t="s">
        <v>31</v>
      </c>
      <c r="C6" t="s">
        <v>32</v>
      </c>
    </row>
    <row r="7" spans="1:3" x14ac:dyDescent="0.3">
      <c r="A7" t="e">
        <f>INDEX(resultados!$A$2:$ZZ$956, 1, MATCH($B$1, resultados!$A$1:$ZZ$1, 0))</f>
        <v>#N/A</v>
      </c>
      <c r="B7" t="e">
        <f>INDEX(resultados!$A$2:$ZZ$956, 1, MATCH($B$2, resultados!$A$1:$ZZ$1, 0))</f>
        <v>#N/A</v>
      </c>
      <c r="C7" t="e">
        <f>INDEX(resultados!$A$2:$ZZ$956, 1, MATCH($B$3, resultados!$A$1:$ZZ$1, 0))</f>
        <v>#N/A</v>
      </c>
    </row>
    <row r="8" spans="1:3" x14ac:dyDescent="0.3">
      <c r="A8" t="e">
        <f>INDEX(resultados!$A$2:$ZZ$956, 2, MATCH($B$1, resultados!$A$1:$ZZ$1, 0))</f>
        <v>#N/A</v>
      </c>
      <c r="B8" t="e">
        <f>INDEX(resultados!$A$2:$ZZ$956, 2, MATCH($B$2, resultados!$A$1:$ZZ$1, 0))</f>
        <v>#N/A</v>
      </c>
      <c r="C8" t="e">
        <f>INDEX(resultados!$A$2:$ZZ$956, 2, MATCH($B$3, resultados!$A$1:$ZZ$1, 0))</f>
        <v>#N/A</v>
      </c>
    </row>
    <row r="9" spans="1:3" x14ac:dyDescent="0.3">
      <c r="A9" t="e">
        <f>INDEX(resultados!$A$2:$ZZ$956, 3, MATCH($B$1, resultados!$A$1:$ZZ$1, 0))</f>
        <v>#N/A</v>
      </c>
      <c r="B9" t="e">
        <f>INDEX(resultados!$A$2:$ZZ$956, 3, MATCH($B$2, resultados!$A$1:$ZZ$1, 0))</f>
        <v>#N/A</v>
      </c>
      <c r="C9" t="e">
        <f>INDEX(resultados!$A$2:$ZZ$956, 3, MATCH($B$3, resultados!$A$1:$ZZ$1, 0))</f>
        <v>#N/A</v>
      </c>
    </row>
    <row r="10" spans="1:3" x14ac:dyDescent="0.3">
      <c r="A10" t="e">
        <f>INDEX(resultados!$A$2:$ZZ$956, 4, MATCH($B$1, resultados!$A$1:$ZZ$1, 0))</f>
        <v>#N/A</v>
      </c>
      <c r="B10" t="e">
        <f>INDEX(resultados!$A$2:$ZZ$956, 4, MATCH($B$2, resultados!$A$1:$ZZ$1, 0))</f>
        <v>#N/A</v>
      </c>
      <c r="C10" t="e">
        <f>INDEX(resultados!$A$2:$ZZ$956, 4, MATCH($B$3, resultados!$A$1:$ZZ$1, 0))</f>
        <v>#N/A</v>
      </c>
    </row>
    <row r="11" spans="1:3" x14ac:dyDescent="0.3">
      <c r="A11" t="e">
        <f>INDEX(resultados!$A$2:$ZZ$956, 5, MATCH($B$1, resultados!$A$1:$ZZ$1, 0))</f>
        <v>#N/A</v>
      </c>
      <c r="B11" t="e">
        <f>INDEX(resultados!$A$2:$ZZ$956, 5, MATCH($B$2, resultados!$A$1:$ZZ$1, 0))</f>
        <v>#N/A</v>
      </c>
      <c r="C11" t="e">
        <f>INDEX(resultados!$A$2:$ZZ$956, 5, MATCH($B$3, resultados!$A$1:$ZZ$1, 0))</f>
        <v>#N/A</v>
      </c>
    </row>
    <row r="12" spans="1:3" x14ac:dyDescent="0.3">
      <c r="A12" t="e">
        <f>INDEX(resultados!$A$2:$ZZ$956, 6, MATCH($B$1, resultados!$A$1:$ZZ$1, 0))</f>
        <v>#N/A</v>
      </c>
      <c r="B12" t="e">
        <f>INDEX(resultados!$A$2:$ZZ$956, 6, MATCH($B$2, resultados!$A$1:$ZZ$1, 0))</f>
        <v>#N/A</v>
      </c>
      <c r="C12" t="e">
        <f>INDEX(resultados!$A$2:$ZZ$956, 6, MATCH($B$3, resultados!$A$1:$ZZ$1, 0))</f>
        <v>#N/A</v>
      </c>
    </row>
    <row r="13" spans="1:3" x14ac:dyDescent="0.3">
      <c r="A13" t="e">
        <f>INDEX(resultados!$A$2:$ZZ$956, 7, MATCH($B$1, resultados!$A$1:$ZZ$1, 0))</f>
        <v>#N/A</v>
      </c>
      <c r="B13" t="e">
        <f>INDEX(resultados!$A$2:$ZZ$956, 7, MATCH($B$2, resultados!$A$1:$ZZ$1, 0))</f>
        <v>#N/A</v>
      </c>
      <c r="C13" t="e">
        <f>INDEX(resultados!$A$2:$ZZ$956, 7, MATCH($B$3, resultados!$A$1:$ZZ$1, 0))</f>
        <v>#N/A</v>
      </c>
    </row>
    <row r="14" spans="1:3" x14ac:dyDescent="0.3">
      <c r="A14" t="e">
        <f>INDEX(resultados!$A$2:$ZZ$956, 8, MATCH($B$1, resultados!$A$1:$ZZ$1, 0))</f>
        <v>#N/A</v>
      </c>
      <c r="B14" t="e">
        <f>INDEX(resultados!$A$2:$ZZ$956, 8, MATCH($B$2, resultados!$A$1:$ZZ$1, 0))</f>
        <v>#N/A</v>
      </c>
      <c r="C14" t="e">
        <f>INDEX(resultados!$A$2:$ZZ$956, 8, MATCH($B$3, resultados!$A$1:$ZZ$1, 0))</f>
        <v>#N/A</v>
      </c>
    </row>
    <row r="15" spans="1:3" x14ac:dyDescent="0.3">
      <c r="A15" t="e">
        <f>INDEX(resultados!$A$2:$ZZ$956, 9, MATCH($B$1, resultados!$A$1:$ZZ$1, 0))</f>
        <v>#N/A</v>
      </c>
      <c r="B15" t="e">
        <f>INDEX(resultados!$A$2:$ZZ$956, 9, MATCH($B$2, resultados!$A$1:$ZZ$1, 0))</f>
        <v>#N/A</v>
      </c>
      <c r="C15" t="e">
        <f>INDEX(resultados!$A$2:$ZZ$956, 9, MATCH($B$3, resultados!$A$1:$ZZ$1, 0))</f>
        <v>#N/A</v>
      </c>
    </row>
    <row r="16" spans="1:3" x14ac:dyDescent="0.3">
      <c r="A16" t="e">
        <f>INDEX(resultados!$A$2:$ZZ$956, 10, MATCH($B$1, resultados!$A$1:$ZZ$1, 0))</f>
        <v>#N/A</v>
      </c>
      <c r="B16" t="e">
        <f>INDEX(resultados!$A$2:$ZZ$956, 10, MATCH($B$2, resultados!$A$1:$ZZ$1, 0))</f>
        <v>#N/A</v>
      </c>
      <c r="C16" t="e">
        <f>INDEX(resultados!$A$2:$ZZ$956, 10, MATCH($B$3, resultados!$A$1:$ZZ$1, 0))</f>
        <v>#N/A</v>
      </c>
    </row>
    <row r="17" spans="1:3" x14ac:dyDescent="0.3">
      <c r="A17" t="e">
        <f>INDEX(resultados!$A$2:$ZZ$956, 11, MATCH($B$1, resultados!$A$1:$ZZ$1, 0))</f>
        <v>#N/A</v>
      </c>
      <c r="B17" t="e">
        <f>INDEX(resultados!$A$2:$ZZ$956, 11, MATCH($B$2, resultados!$A$1:$ZZ$1, 0))</f>
        <v>#N/A</v>
      </c>
      <c r="C17" t="e">
        <f>INDEX(resultados!$A$2:$ZZ$956, 11, MATCH($B$3, resultados!$A$1:$ZZ$1, 0))</f>
        <v>#N/A</v>
      </c>
    </row>
    <row r="18" spans="1:3" x14ac:dyDescent="0.3">
      <c r="A18" t="e">
        <f>INDEX(resultados!$A$2:$ZZ$956, 12, MATCH($B$1, resultados!$A$1:$ZZ$1, 0))</f>
        <v>#N/A</v>
      </c>
      <c r="B18" t="e">
        <f>INDEX(resultados!$A$2:$ZZ$956, 12, MATCH($B$2, resultados!$A$1:$ZZ$1, 0))</f>
        <v>#N/A</v>
      </c>
      <c r="C18" t="e">
        <f>INDEX(resultados!$A$2:$ZZ$956, 12, MATCH($B$3, resultados!$A$1:$ZZ$1, 0))</f>
        <v>#N/A</v>
      </c>
    </row>
    <row r="19" spans="1:3" x14ac:dyDescent="0.3">
      <c r="A19" t="e">
        <f>INDEX(resultados!$A$2:$ZZ$956, 13, MATCH($B$1, resultados!$A$1:$ZZ$1, 0))</f>
        <v>#N/A</v>
      </c>
      <c r="B19" t="e">
        <f>INDEX(resultados!$A$2:$ZZ$956, 13, MATCH($B$2, resultados!$A$1:$ZZ$1, 0))</f>
        <v>#N/A</v>
      </c>
      <c r="C19" t="e">
        <f>INDEX(resultados!$A$2:$ZZ$956, 13, MATCH($B$3, resultados!$A$1:$ZZ$1, 0))</f>
        <v>#N/A</v>
      </c>
    </row>
    <row r="20" spans="1:3" x14ac:dyDescent="0.3">
      <c r="A20" t="e">
        <f>INDEX(resultados!$A$2:$ZZ$956, 14, MATCH($B$1, resultados!$A$1:$ZZ$1, 0))</f>
        <v>#N/A</v>
      </c>
      <c r="B20" t="e">
        <f>INDEX(resultados!$A$2:$ZZ$956, 14, MATCH($B$2, resultados!$A$1:$ZZ$1, 0))</f>
        <v>#N/A</v>
      </c>
      <c r="C20" t="e">
        <f>INDEX(resultados!$A$2:$ZZ$956, 14, MATCH($B$3, resultados!$A$1:$ZZ$1, 0))</f>
        <v>#N/A</v>
      </c>
    </row>
    <row r="21" spans="1:3" x14ac:dyDescent="0.3">
      <c r="A21" t="e">
        <f>INDEX(resultados!$A$2:$ZZ$956, 15, MATCH($B$1, resultados!$A$1:$ZZ$1, 0))</f>
        <v>#N/A</v>
      </c>
      <c r="B21" t="e">
        <f>INDEX(resultados!$A$2:$ZZ$956, 15, MATCH($B$2, resultados!$A$1:$ZZ$1, 0))</f>
        <v>#N/A</v>
      </c>
      <c r="C21" t="e">
        <f>INDEX(resultados!$A$2:$ZZ$956, 15, MATCH($B$3, resultados!$A$1:$ZZ$1, 0))</f>
        <v>#N/A</v>
      </c>
    </row>
    <row r="22" spans="1:3" x14ac:dyDescent="0.3">
      <c r="A22" t="e">
        <f>INDEX(resultados!$A$2:$ZZ$956, 16, MATCH($B$1, resultados!$A$1:$ZZ$1, 0))</f>
        <v>#N/A</v>
      </c>
      <c r="B22" t="e">
        <f>INDEX(resultados!$A$2:$ZZ$956, 16, MATCH($B$2, resultados!$A$1:$ZZ$1, 0))</f>
        <v>#N/A</v>
      </c>
      <c r="C22" t="e">
        <f>INDEX(resultados!$A$2:$ZZ$956, 16, MATCH($B$3, resultados!$A$1:$ZZ$1, 0))</f>
        <v>#N/A</v>
      </c>
    </row>
    <row r="23" spans="1:3" x14ac:dyDescent="0.3">
      <c r="A23" t="e">
        <f>INDEX(resultados!$A$2:$ZZ$956, 17, MATCH($B$1, resultados!$A$1:$ZZ$1, 0))</f>
        <v>#N/A</v>
      </c>
      <c r="B23" t="e">
        <f>INDEX(resultados!$A$2:$ZZ$956, 17, MATCH($B$2, resultados!$A$1:$ZZ$1, 0))</f>
        <v>#N/A</v>
      </c>
      <c r="C23" t="e">
        <f>INDEX(resultados!$A$2:$ZZ$956, 17, MATCH($B$3, resultados!$A$1:$ZZ$1, 0))</f>
        <v>#N/A</v>
      </c>
    </row>
    <row r="24" spans="1:3" x14ac:dyDescent="0.3">
      <c r="A24" t="e">
        <f>INDEX(resultados!$A$2:$ZZ$956, 18, MATCH($B$1, resultados!$A$1:$ZZ$1, 0))</f>
        <v>#N/A</v>
      </c>
      <c r="B24" t="e">
        <f>INDEX(resultados!$A$2:$ZZ$956, 18, MATCH($B$2, resultados!$A$1:$ZZ$1, 0))</f>
        <v>#N/A</v>
      </c>
      <c r="C24" t="e">
        <f>INDEX(resultados!$A$2:$ZZ$956, 18, MATCH($B$3, resultados!$A$1:$ZZ$1, 0))</f>
        <v>#N/A</v>
      </c>
    </row>
    <row r="25" spans="1:3" x14ac:dyDescent="0.3">
      <c r="A25" t="e">
        <f>INDEX(resultados!$A$2:$ZZ$956, 19, MATCH($B$1, resultados!$A$1:$ZZ$1, 0))</f>
        <v>#N/A</v>
      </c>
      <c r="B25" t="e">
        <f>INDEX(resultados!$A$2:$ZZ$956, 19, MATCH($B$2, resultados!$A$1:$ZZ$1, 0))</f>
        <v>#N/A</v>
      </c>
      <c r="C25" t="e">
        <f>INDEX(resultados!$A$2:$ZZ$956, 19, MATCH($B$3, resultados!$A$1:$ZZ$1, 0))</f>
        <v>#N/A</v>
      </c>
    </row>
    <row r="26" spans="1:3" x14ac:dyDescent="0.3">
      <c r="A26" t="e">
        <f>INDEX(resultados!$A$2:$ZZ$956, 20, MATCH($B$1, resultados!$A$1:$ZZ$1, 0))</f>
        <v>#N/A</v>
      </c>
      <c r="B26" t="e">
        <f>INDEX(resultados!$A$2:$ZZ$956, 20, MATCH($B$2, resultados!$A$1:$ZZ$1, 0))</f>
        <v>#N/A</v>
      </c>
      <c r="C26" t="e">
        <f>INDEX(resultados!$A$2:$ZZ$956, 20, MATCH($B$3, resultados!$A$1:$ZZ$1, 0))</f>
        <v>#N/A</v>
      </c>
    </row>
    <row r="27" spans="1:3" x14ac:dyDescent="0.3">
      <c r="A27" t="e">
        <f>INDEX(resultados!$A$2:$ZZ$956, 21, MATCH($B$1, resultados!$A$1:$ZZ$1, 0))</f>
        <v>#N/A</v>
      </c>
      <c r="B27" t="e">
        <f>INDEX(resultados!$A$2:$ZZ$956, 21, MATCH($B$2, resultados!$A$1:$ZZ$1, 0))</f>
        <v>#N/A</v>
      </c>
      <c r="C27" t="e">
        <f>INDEX(resultados!$A$2:$ZZ$956, 21, MATCH($B$3, resultados!$A$1:$ZZ$1, 0))</f>
        <v>#N/A</v>
      </c>
    </row>
    <row r="28" spans="1:3" x14ac:dyDescent="0.3">
      <c r="A28" t="e">
        <f>INDEX(resultados!$A$2:$ZZ$956, 22, MATCH($B$1, resultados!$A$1:$ZZ$1, 0))</f>
        <v>#N/A</v>
      </c>
      <c r="B28" t="e">
        <f>INDEX(resultados!$A$2:$ZZ$956, 22, MATCH($B$2, resultados!$A$1:$ZZ$1, 0))</f>
        <v>#N/A</v>
      </c>
      <c r="C28" t="e">
        <f>INDEX(resultados!$A$2:$ZZ$956, 22, MATCH($B$3, resultados!$A$1:$ZZ$1, 0))</f>
        <v>#N/A</v>
      </c>
    </row>
    <row r="29" spans="1:3" x14ac:dyDescent="0.3">
      <c r="A29" t="e">
        <f>INDEX(resultados!$A$2:$ZZ$956, 23, MATCH($B$1, resultados!$A$1:$ZZ$1, 0))</f>
        <v>#N/A</v>
      </c>
      <c r="B29" t="e">
        <f>INDEX(resultados!$A$2:$ZZ$956, 23, MATCH($B$2, resultados!$A$1:$ZZ$1, 0))</f>
        <v>#N/A</v>
      </c>
      <c r="C29" t="e">
        <f>INDEX(resultados!$A$2:$ZZ$956, 23, MATCH($B$3, resultados!$A$1:$ZZ$1, 0))</f>
        <v>#N/A</v>
      </c>
    </row>
    <row r="30" spans="1:3" x14ac:dyDescent="0.3">
      <c r="A30" t="e">
        <f>INDEX(resultados!$A$2:$ZZ$956, 24, MATCH($B$1, resultados!$A$1:$ZZ$1, 0))</f>
        <v>#N/A</v>
      </c>
      <c r="B30" t="e">
        <f>INDEX(resultados!$A$2:$ZZ$956, 24, MATCH($B$2, resultados!$A$1:$ZZ$1, 0))</f>
        <v>#N/A</v>
      </c>
      <c r="C30" t="e">
        <f>INDEX(resultados!$A$2:$ZZ$956, 24, MATCH($B$3, resultados!$A$1:$ZZ$1, 0))</f>
        <v>#N/A</v>
      </c>
    </row>
    <row r="31" spans="1:3" x14ac:dyDescent="0.3">
      <c r="A31" t="e">
        <f>INDEX(resultados!$A$2:$ZZ$956, 25, MATCH($B$1, resultados!$A$1:$ZZ$1, 0))</f>
        <v>#N/A</v>
      </c>
      <c r="B31" t="e">
        <f>INDEX(resultados!$A$2:$ZZ$956, 25, MATCH($B$2, resultados!$A$1:$ZZ$1, 0))</f>
        <v>#N/A</v>
      </c>
      <c r="C31" t="e">
        <f>INDEX(resultados!$A$2:$ZZ$956, 25, MATCH($B$3, resultados!$A$1:$ZZ$1, 0))</f>
        <v>#N/A</v>
      </c>
    </row>
    <row r="32" spans="1:3" x14ac:dyDescent="0.3">
      <c r="A32" t="e">
        <f>INDEX(resultados!$A$2:$ZZ$956, 26, MATCH($B$1, resultados!$A$1:$ZZ$1, 0))</f>
        <v>#N/A</v>
      </c>
      <c r="B32" t="e">
        <f>INDEX(resultados!$A$2:$ZZ$956, 26, MATCH($B$2, resultados!$A$1:$ZZ$1, 0))</f>
        <v>#N/A</v>
      </c>
      <c r="C32" t="e">
        <f>INDEX(resultados!$A$2:$ZZ$956, 26, MATCH($B$3, resultados!$A$1:$ZZ$1, 0))</f>
        <v>#N/A</v>
      </c>
    </row>
    <row r="33" spans="1:3" x14ac:dyDescent="0.3">
      <c r="A33" t="e">
        <f>INDEX(resultados!$A$2:$ZZ$956, 27, MATCH($B$1, resultados!$A$1:$ZZ$1, 0))</f>
        <v>#N/A</v>
      </c>
      <c r="B33" t="e">
        <f>INDEX(resultados!$A$2:$ZZ$956, 27, MATCH($B$2, resultados!$A$1:$ZZ$1, 0))</f>
        <v>#N/A</v>
      </c>
      <c r="C33" t="e">
        <f>INDEX(resultados!$A$2:$ZZ$956, 27, MATCH($B$3, resultados!$A$1:$ZZ$1, 0))</f>
        <v>#N/A</v>
      </c>
    </row>
    <row r="34" spans="1:3" x14ac:dyDescent="0.3">
      <c r="A34" t="e">
        <f>INDEX(resultados!$A$2:$ZZ$956, 28, MATCH($B$1, resultados!$A$1:$ZZ$1, 0))</f>
        <v>#N/A</v>
      </c>
      <c r="B34" t="e">
        <f>INDEX(resultados!$A$2:$ZZ$956, 28, MATCH($B$2, resultados!$A$1:$ZZ$1, 0))</f>
        <v>#N/A</v>
      </c>
      <c r="C34" t="e">
        <f>INDEX(resultados!$A$2:$ZZ$956, 28, MATCH($B$3, resultados!$A$1:$ZZ$1, 0))</f>
        <v>#N/A</v>
      </c>
    </row>
    <row r="35" spans="1:3" x14ac:dyDescent="0.3">
      <c r="A35" t="e">
        <f>INDEX(resultados!$A$2:$ZZ$956, 29, MATCH($B$1, resultados!$A$1:$ZZ$1, 0))</f>
        <v>#N/A</v>
      </c>
      <c r="B35" t="e">
        <f>INDEX(resultados!$A$2:$ZZ$956, 29, MATCH($B$2, resultados!$A$1:$ZZ$1, 0))</f>
        <v>#N/A</v>
      </c>
      <c r="C35" t="e">
        <f>INDEX(resultados!$A$2:$ZZ$956, 29, MATCH($B$3, resultados!$A$1:$ZZ$1, 0))</f>
        <v>#N/A</v>
      </c>
    </row>
    <row r="36" spans="1:3" x14ac:dyDescent="0.3">
      <c r="A36" t="e">
        <f>INDEX(resultados!$A$2:$ZZ$956, 30, MATCH($B$1, resultados!$A$1:$ZZ$1, 0))</f>
        <v>#N/A</v>
      </c>
      <c r="B36" t="e">
        <f>INDEX(resultados!$A$2:$ZZ$956, 30, MATCH($B$2, resultados!$A$1:$ZZ$1, 0))</f>
        <v>#N/A</v>
      </c>
      <c r="C36" t="e">
        <f>INDEX(resultados!$A$2:$ZZ$956, 30, MATCH($B$3, resultados!$A$1:$ZZ$1, 0))</f>
        <v>#N/A</v>
      </c>
    </row>
    <row r="37" spans="1:3" x14ac:dyDescent="0.3">
      <c r="A37" t="e">
        <f>INDEX(resultados!$A$2:$ZZ$956, 31, MATCH($B$1, resultados!$A$1:$ZZ$1, 0))</f>
        <v>#N/A</v>
      </c>
      <c r="B37" t="e">
        <f>INDEX(resultados!$A$2:$ZZ$956, 31, MATCH($B$2, resultados!$A$1:$ZZ$1, 0))</f>
        <v>#N/A</v>
      </c>
      <c r="C37" t="e">
        <f>INDEX(resultados!$A$2:$ZZ$956, 31, MATCH($B$3, resultados!$A$1:$ZZ$1, 0))</f>
        <v>#N/A</v>
      </c>
    </row>
    <row r="38" spans="1:3" x14ac:dyDescent="0.3">
      <c r="A38" t="e">
        <f>INDEX(resultados!$A$2:$ZZ$956, 32, MATCH($B$1, resultados!$A$1:$ZZ$1, 0))</f>
        <v>#N/A</v>
      </c>
      <c r="B38" t="e">
        <f>INDEX(resultados!$A$2:$ZZ$956, 32, MATCH($B$2, resultados!$A$1:$ZZ$1, 0))</f>
        <v>#N/A</v>
      </c>
      <c r="C38" t="e">
        <f>INDEX(resultados!$A$2:$ZZ$956, 32, MATCH($B$3, resultados!$A$1:$ZZ$1, 0))</f>
        <v>#N/A</v>
      </c>
    </row>
    <row r="39" spans="1:3" x14ac:dyDescent="0.3">
      <c r="A39" t="e">
        <f>INDEX(resultados!$A$2:$ZZ$956, 33, MATCH($B$1, resultados!$A$1:$ZZ$1, 0))</f>
        <v>#N/A</v>
      </c>
      <c r="B39" t="e">
        <f>INDEX(resultados!$A$2:$ZZ$956, 33, MATCH($B$2, resultados!$A$1:$ZZ$1, 0))</f>
        <v>#N/A</v>
      </c>
      <c r="C39" t="e">
        <f>INDEX(resultados!$A$2:$ZZ$956, 33, MATCH($B$3, resultados!$A$1:$ZZ$1, 0))</f>
        <v>#N/A</v>
      </c>
    </row>
    <row r="40" spans="1:3" x14ac:dyDescent="0.3">
      <c r="A40" t="e">
        <f>INDEX(resultados!$A$2:$ZZ$956, 34, MATCH($B$1, resultados!$A$1:$ZZ$1, 0))</f>
        <v>#N/A</v>
      </c>
      <c r="B40" t="e">
        <f>INDEX(resultados!$A$2:$ZZ$956, 34, MATCH($B$2, resultados!$A$1:$ZZ$1, 0))</f>
        <v>#N/A</v>
      </c>
      <c r="C40" t="e">
        <f>INDEX(resultados!$A$2:$ZZ$956, 34, MATCH($B$3, resultados!$A$1:$ZZ$1, 0))</f>
        <v>#N/A</v>
      </c>
    </row>
    <row r="41" spans="1:3" x14ac:dyDescent="0.3">
      <c r="A41" t="e">
        <f>INDEX(resultados!$A$2:$ZZ$956, 35, MATCH($B$1, resultados!$A$1:$ZZ$1, 0))</f>
        <v>#N/A</v>
      </c>
      <c r="B41" t="e">
        <f>INDEX(resultados!$A$2:$ZZ$956, 35, MATCH($B$2, resultados!$A$1:$ZZ$1, 0))</f>
        <v>#N/A</v>
      </c>
      <c r="C41" t="e">
        <f>INDEX(resultados!$A$2:$ZZ$956, 35, MATCH($B$3, resultados!$A$1:$ZZ$1, 0))</f>
        <v>#N/A</v>
      </c>
    </row>
    <row r="42" spans="1:3" x14ac:dyDescent="0.3">
      <c r="A42" t="e">
        <f>INDEX(resultados!$A$2:$ZZ$956, 36, MATCH($B$1, resultados!$A$1:$ZZ$1, 0))</f>
        <v>#N/A</v>
      </c>
      <c r="B42" t="e">
        <f>INDEX(resultados!$A$2:$ZZ$956, 36, MATCH($B$2, resultados!$A$1:$ZZ$1, 0))</f>
        <v>#N/A</v>
      </c>
      <c r="C42" t="e">
        <f>INDEX(resultados!$A$2:$ZZ$956, 36, MATCH($B$3, resultados!$A$1:$ZZ$1, 0))</f>
        <v>#N/A</v>
      </c>
    </row>
    <row r="43" spans="1:3" x14ac:dyDescent="0.3">
      <c r="A43" t="e">
        <f>INDEX(resultados!$A$2:$ZZ$956, 37, MATCH($B$1, resultados!$A$1:$ZZ$1, 0))</f>
        <v>#N/A</v>
      </c>
      <c r="B43" t="e">
        <f>INDEX(resultados!$A$2:$ZZ$956, 37, MATCH($B$2, resultados!$A$1:$ZZ$1, 0))</f>
        <v>#N/A</v>
      </c>
      <c r="C43" t="e">
        <f>INDEX(resultados!$A$2:$ZZ$956, 37, MATCH($B$3, resultados!$A$1:$ZZ$1, 0))</f>
        <v>#N/A</v>
      </c>
    </row>
    <row r="44" spans="1:3" x14ac:dyDescent="0.3">
      <c r="A44" t="e">
        <f>INDEX(resultados!$A$2:$ZZ$956, 38, MATCH($B$1, resultados!$A$1:$ZZ$1, 0))</f>
        <v>#N/A</v>
      </c>
      <c r="B44" t="e">
        <f>INDEX(resultados!$A$2:$ZZ$956, 38, MATCH($B$2, resultados!$A$1:$ZZ$1, 0))</f>
        <v>#N/A</v>
      </c>
      <c r="C44" t="e">
        <f>INDEX(resultados!$A$2:$ZZ$956, 38, MATCH($B$3, resultados!$A$1:$ZZ$1, 0))</f>
        <v>#N/A</v>
      </c>
    </row>
    <row r="45" spans="1:3" x14ac:dyDescent="0.3">
      <c r="A45" t="e">
        <f>INDEX(resultados!$A$2:$ZZ$956, 39, MATCH($B$1, resultados!$A$1:$ZZ$1, 0))</f>
        <v>#N/A</v>
      </c>
      <c r="B45" t="e">
        <f>INDEX(resultados!$A$2:$ZZ$956, 39, MATCH($B$2, resultados!$A$1:$ZZ$1, 0))</f>
        <v>#N/A</v>
      </c>
      <c r="C45" t="e">
        <f>INDEX(resultados!$A$2:$ZZ$956, 39, MATCH($B$3, resultados!$A$1:$ZZ$1, 0))</f>
        <v>#N/A</v>
      </c>
    </row>
    <row r="46" spans="1:3" x14ac:dyDescent="0.3">
      <c r="A46" t="e">
        <f>INDEX(resultados!$A$2:$ZZ$956, 40, MATCH($B$1, resultados!$A$1:$ZZ$1, 0))</f>
        <v>#N/A</v>
      </c>
      <c r="B46" t="e">
        <f>INDEX(resultados!$A$2:$ZZ$956, 40, MATCH($B$2, resultados!$A$1:$ZZ$1, 0))</f>
        <v>#N/A</v>
      </c>
      <c r="C46" t="e">
        <f>INDEX(resultados!$A$2:$ZZ$956, 40, MATCH($B$3, resultados!$A$1:$ZZ$1, 0))</f>
        <v>#N/A</v>
      </c>
    </row>
    <row r="47" spans="1:3" x14ac:dyDescent="0.3">
      <c r="A47" t="e">
        <f>INDEX(resultados!$A$2:$ZZ$956, 41, MATCH($B$1, resultados!$A$1:$ZZ$1, 0))</f>
        <v>#N/A</v>
      </c>
      <c r="B47" t="e">
        <f>INDEX(resultados!$A$2:$ZZ$956, 41, MATCH($B$2, resultados!$A$1:$ZZ$1, 0))</f>
        <v>#N/A</v>
      </c>
      <c r="C47" t="e">
        <f>INDEX(resultados!$A$2:$ZZ$956, 41, MATCH($B$3, resultados!$A$1:$ZZ$1, 0))</f>
        <v>#N/A</v>
      </c>
    </row>
    <row r="48" spans="1:3" x14ac:dyDescent="0.3">
      <c r="A48" t="e">
        <f>INDEX(resultados!$A$2:$ZZ$956, 42, MATCH($B$1, resultados!$A$1:$ZZ$1, 0))</f>
        <v>#N/A</v>
      </c>
      <c r="B48" t="e">
        <f>INDEX(resultados!$A$2:$ZZ$956, 42, MATCH($B$2, resultados!$A$1:$ZZ$1, 0))</f>
        <v>#N/A</v>
      </c>
      <c r="C48" t="e">
        <f>INDEX(resultados!$A$2:$ZZ$956, 42, MATCH($B$3, resultados!$A$1:$ZZ$1, 0))</f>
        <v>#N/A</v>
      </c>
    </row>
    <row r="49" spans="1:3" x14ac:dyDescent="0.3">
      <c r="A49" t="e">
        <f>INDEX(resultados!$A$2:$ZZ$956, 43, MATCH($B$1, resultados!$A$1:$ZZ$1, 0))</f>
        <v>#N/A</v>
      </c>
      <c r="B49" t="e">
        <f>INDEX(resultados!$A$2:$ZZ$956, 43, MATCH($B$2, resultados!$A$1:$ZZ$1, 0))</f>
        <v>#N/A</v>
      </c>
      <c r="C49" t="e">
        <f>INDEX(resultados!$A$2:$ZZ$956, 43, MATCH($B$3, resultados!$A$1:$ZZ$1, 0))</f>
        <v>#N/A</v>
      </c>
    </row>
    <row r="50" spans="1:3" x14ac:dyDescent="0.3">
      <c r="A50" t="e">
        <f>INDEX(resultados!$A$2:$ZZ$956, 44, MATCH($B$1, resultados!$A$1:$ZZ$1, 0))</f>
        <v>#N/A</v>
      </c>
      <c r="B50" t="e">
        <f>INDEX(resultados!$A$2:$ZZ$956, 44, MATCH($B$2, resultados!$A$1:$ZZ$1, 0))</f>
        <v>#N/A</v>
      </c>
      <c r="C50" t="e">
        <f>INDEX(resultados!$A$2:$ZZ$956, 44, MATCH($B$3, resultados!$A$1:$ZZ$1, 0))</f>
        <v>#N/A</v>
      </c>
    </row>
    <row r="51" spans="1:3" x14ac:dyDescent="0.3">
      <c r="A51" t="e">
        <f>INDEX(resultados!$A$2:$ZZ$956, 45, MATCH($B$1, resultados!$A$1:$ZZ$1, 0))</f>
        <v>#N/A</v>
      </c>
      <c r="B51" t="e">
        <f>INDEX(resultados!$A$2:$ZZ$956, 45, MATCH($B$2, resultados!$A$1:$ZZ$1, 0))</f>
        <v>#N/A</v>
      </c>
      <c r="C51" t="e">
        <f>INDEX(resultados!$A$2:$ZZ$956, 45, MATCH($B$3, resultados!$A$1:$ZZ$1, 0))</f>
        <v>#N/A</v>
      </c>
    </row>
    <row r="52" spans="1:3" x14ac:dyDescent="0.3">
      <c r="A52" t="e">
        <f>INDEX(resultados!$A$2:$ZZ$956, 46, MATCH($B$1, resultados!$A$1:$ZZ$1, 0))</f>
        <v>#N/A</v>
      </c>
      <c r="B52" t="e">
        <f>INDEX(resultados!$A$2:$ZZ$956, 46, MATCH($B$2, resultados!$A$1:$ZZ$1, 0))</f>
        <v>#N/A</v>
      </c>
      <c r="C52" t="e">
        <f>INDEX(resultados!$A$2:$ZZ$956, 46, MATCH($B$3, resultados!$A$1:$ZZ$1, 0))</f>
        <v>#N/A</v>
      </c>
    </row>
    <row r="53" spans="1:3" x14ac:dyDescent="0.3">
      <c r="A53" t="e">
        <f>INDEX(resultados!$A$2:$ZZ$956, 47, MATCH($B$1, resultados!$A$1:$ZZ$1, 0))</f>
        <v>#N/A</v>
      </c>
      <c r="B53" t="e">
        <f>INDEX(resultados!$A$2:$ZZ$956, 47, MATCH($B$2, resultados!$A$1:$ZZ$1, 0))</f>
        <v>#N/A</v>
      </c>
      <c r="C53" t="e">
        <f>INDEX(resultados!$A$2:$ZZ$956, 47, MATCH($B$3, resultados!$A$1:$ZZ$1, 0))</f>
        <v>#N/A</v>
      </c>
    </row>
    <row r="54" spans="1:3" x14ac:dyDescent="0.3">
      <c r="A54" t="e">
        <f>INDEX(resultados!$A$2:$ZZ$956, 48, MATCH($B$1, resultados!$A$1:$ZZ$1, 0))</f>
        <v>#N/A</v>
      </c>
      <c r="B54" t="e">
        <f>INDEX(resultados!$A$2:$ZZ$956, 48, MATCH($B$2, resultados!$A$1:$ZZ$1, 0))</f>
        <v>#N/A</v>
      </c>
      <c r="C54" t="e">
        <f>INDEX(resultados!$A$2:$ZZ$956, 48, MATCH($B$3, resultados!$A$1:$ZZ$1, 0))</f>
        <v>#N/A</v>
      </c>
    </row>
    <row r="55" spans="1:3" x14ac:dyDescent="0.3">
      <c r="A55" t="e">
        <f>INDEX(resultados!$A$2:$ZZ$956, 49, MATCH($B$1, resultados!$A$1:$ZZ$1, 0))</f>
        <v>#N/A</v>
      </c>
      <c r="B55" t="e">
        <f>INDEX(resultados!$A$2:$ZZ$956, 49, MATCH($B$2, resultados!$A$1:$ZZ$1, 0))</f>
        <v>#N/A</v>
      </c>
      <c r="C55" t="e">
        <f>INDEX(resultados!$A$2:$ZZ$956, 49, MATCH($B$3, resultados!$A$1:$ZZ$1, 0))</f>
        <v>#N/A</v>
      </c>
    </row>
    <row r="56" spans="1:3" x14ac:dyDescent="0.3">
      <c r="A56" t="e">
        <f>INDEX(resultados!$A$2:$ZZ$956, 50, MATCH($B$1, resultados!$A$1:$ZZ$1, 0))</f>
        <v>#N/A</v>
      </c>
      <c r="B56" t="e">
        <f>INDEX(resultados!$A$2:$ZZ$956, 50, MATCH($B$2, resultados!$A$1:$ZZ$1, 0))</f>
        <v>#N/A</v>
      </c>
      <c r="C56" t="e">
        <f>INDEX(resultados!$A$2:$ZZ$956, 50, MATCH($B$3, resultados!$A$1:$ZZ$1, 0))</f>
        <v>#N/A</v>
      </c>
    </row>
    <row r="57" spans="1:3" x14ac:dyDescent="0.3">
      <c r="A57" t="e">
        <f>INDEX(resultados!$A$2:$ZZ$956, 51, MATCH($B$1, resultados!$A$1:$ZZ$1, 0))</f>
        <v>#N/A</v>
      </c>
      <c r="B57" t="e">
        <f>INDEX(resultados!$A$2:$ZZ$956, 51, MATCH($B$2, resultados!$A$1:$ZZ$1, 0))</f>
        <v>#N/A</v>
      </c>
      <c r="C57" t="e">
        <f>INDEX(resultados!$A$2:$ZZ$956, 51, MATCH($B$3, resultados!$A$1:$ZZ$1, 0))</f>
        <v>#N/A</v>
      </c>
    </row>
    <row r="58" spans="1:3" x14ac:dyDescent="0.3">
      <c r="A58" t="e">
        <f>INDEX(resultados!$A$2:$ZZ$956, 52, MATCH($B$1, resultados!$A$1:$ZZ$1, 0))</f>
        <v>#N/A</v>
      </c>
      <c r="B58" t="e">
        <f>INDEX(resultados!$A$2:$ZZ$956, 52, MATCH($B$2, resultados!$A$1:$ZZ$1, 0))</f>
        <v>#N/A</v>
      </c>
      <c r="C58" t="e">
        <f>INDEX(resultados!$A$2:$ZZ$956, 52, MATCH($B$3, resultados!$A$1:$ZZ$1, 0))</f>
        <v>#N/A</v>
      </c>
    </row>
    <row r="59" spans="1:3" x14ac:dyDescent="0.3">
      <c r="A59" t="e">
        <f>INDEX(resultados!$A$2:$ZZ$956, 53, MATCH($B$1, resultados!$A$1:$ZZ$1, 0))</f>
        <v>#N/A</v>
      </c>
      <c r="B59" t="e">
        <f>INDEX(resultados!$A$2:$ZZ$956, 53, MATCH($B$2, resultados!$A$1:$ZZ$1, 0))</f>
        <v>#N/A</v>
      </c>
      <c r="C59" t="e">
        <f>INDEX(resultados!$A$2:$ZZ$956, 53, MATCH($B$3, resultados!$A$1:$ZZ$1, 0))</f>
        <v>#N/A</v>
      </c>
    </row>
    <row r="60" spans="1:3" x14ac:dyDescent="0.3">
      <c r="A60" t="e">
        <f>INDEX(resultados!$A$2:$ZZ$956, 54, MATCH($B$1, resultados!$A$1:$ZZ$1, 0))</f>
        <v>#N/A</v>
      </c>
      <c r="B60" t="e">
        <f>INDEX(resultados!$A$2:$ZZ$956, 54, MATCH($B$2, resultados!$A$1:$ZZ$1, 0))</f>
        <v>#N/A</v>
      </c>
      <c r="C60" t="e">
        <f>INDEX(resultados!$A$2:$ZZ$956, 54, MATCH($B$3, resultados!$A$1:$ZZ$1, 0))</f>
        <v>#N/A</v>
      </c>
    </row>
    <row r="61" spans="1:3" x14ac:dyDescent="0.3">
      <c r="A61" t="e">
        <f>INDEX(resultados!$A$2:$ZZ$956, 55, MATCH($B$1, resultados!$A$1:$ZZ$1, 0))</f>
        <v>#N/A</v>
      </c>
      <c r="B61" t="e">
        <f>INDEX(resultados!$A$2:$ZZ$956, 55, MATCH($B$2, resultados!$A$1:$ZZ$1, 0))</f>
        <v>#N/A</v>
      </c>
      <c r="C61" t="e">
        <f>INDEX(resultados!$A$2:$ZZ$956, 55, MATCH($B$3, resultados!$A$1:$ZZ$1, 0))</f>
        <v>#N/A</v>
      </c>
    </row>
    <row r="62" spans="1:3" x14ac:dyDescent="0.3">
      <c r="A62" t="e">
        <f>INDEX(resultados!$A$2:$ZZ$956, 56, MATCH($B$1, resultados!$A$1:$ZZ$1, 0))</f>
        <v>#N/A</v>
      </c>
      <c r="B62" t="e">
        <f>INDEX(resultados!$A$2:$ZZ$956, 56, MATCH($B$2, resultados!$A$1:$ZZ$1, 0))</f>
        <v>#N/A</v>
      </c>
      <c r="C62" t="e">
        <f>INDEX(resultados!$A$2:$ZZ$956, 56, MATCH($B$3, resultados!$A$1:$ZZ$1, 0))</f>
        <v>#N/A</v>
      </c>
    </row>
    <row r="63" spans="1:3" x14ac:dyDescent="0.3">
      <c r="A63" t="e">
        <f>INDEX(resultados!$A$2:$ZZ$956, 57, MATCH($B$1, resultados!$A$1:$ZZ$1, 0))</f>
        <v>#N/A</v>
      </c>
      <c r="B63" t="e">
        <f>INDEX(resultados!$A$2:$ZZ$956, 57, MATCH($B$2, resultados!$A$1:$ZZ$1, 0))</f>
        <v>#N/A</v>
      </c>
      <c r="C63" t="e">
        <f>INDEX(resultados!$A$2:$ZZ$956, 57, MATCH($B$3, resultados!$A$1:$ZZ$1, 0))</f>
        <v>#N/A</v>
      </c>
    </row>
    <row r="64" spans="1:3" x14ac:dyDescent="0.3">
      <c r="A64" t="e">
        <f>INDEX(resultados!$A$2:$ZZ$956, 58, MATCH($B$1, resultados!$A$1:$ZZ$1, 0))</f>
        <v>#N/A</v>
      </c>
      <c r="B64" t="e">
        <f>INDEX(resultados!$A$2:$ZZ$956, 58, MATCH($B$2, resultados!$A$1:$ZZ$1, 0))</f>
        <v>#N/A</v>
      </c>
      <c r="C64" t="e">
        <f>INDEX(resultados!$A$2:$ZZ$956, 58, MATCH($B$3, resultados!$A$1:$ZZ$1, 0))</f>
        <v>#N/A</v>
      </c>
    </row>
    <row r="65" spans="1:3" x14ac:dyDescent="0.3">
      <c r="A65" t="e">
        <f>INDEX(resultados!$A$2:$ZZ$956, 59, MATCH($B$1, resultados!$A$1:$ZZ$1, 0))</f>
        <v>#N/A</v>
      </c>
      <c r="B65" t="e">
        <f>INDEX(resultados!$A$2:$ZZ$956, 59, MATCH($B$2, resultados!$A$1:$ZZ$1, 0))</f>
        <v>#N/A</v>
      </c>
      <c r="C65" t="e">
        <f>INDEX(resultados!$A$2:$ZZ$956, 59, MATCH($B$3, resultados!$A$1:$ZZ$1, 0))</f>
        <v>#N/A</v>
      </c>
    </row>
    <row r="66" spans="1:3" x14ac:dyDescent="0.3">
      <c r="A66" t="e">
        <f>INDEX(resultados!$A$2:$ZZ$956, 60, MATCH($B$1, resultados!$A$1:$ZZ$1, 0))</f>
        <v>#N/A</v>
      </c>
      <c r="B66" t="e">
        <f>INDEX(resultados!$A$2:$ZZ$956, 60, MATCH($B$2, resultados!$A$1:$ZZ$1, 0))</f>
        <v>#N/A</v>
      </c>
      <c r="C66" t="e">
        <f>INDEX(resultados!$A$2:$ZZ$956, 60, MATCH($B$3, resultados!$A$1:$ZZ$1, 0))</f>
        <v>#N/A</v>
      </c>
    </row>
    <row r="67" spans="1:3" x14ac:dyDescent="0.3">
      <c r="A67" t="e">
        <f>INDEX(resultados!$A$2:$ZZ$956, 61, MATCH($B$1, resultados!$A$1:$ZZ$1, 0))</f>
        <v>#N/A</v>
      </c>
      <c r="B67" t="e">
        <f>INDEX(resultados!$A$2:$ZZ$956, 61, MATCH($B$2, resultados!$A$1:$ZZ$1, 0))</f>
        <v>#N/A</v>
      </c>
      <c r="C67" t="e">
        <f>INDEX(resultados!$A$2:$ZZ$956, 61, MATCH($B$3, resultados!$A$1:$ZZ$1, 0))</f>
        <v>#N/A</v>
      </c>
    </row>
    <row r="68" spans="1:3" x14ac:dyDescent="0.3">
      <c r="A68" t="e">
        <f>INDEX(resultados!$A$2:$ZZ$956, 62, MATCH($B$1, resultados!$A$1:$ZZ$1, 0))</f>
        <v>#N/A</v>
      </c>
      <c r="B68" t="e">
        <f>INDEX(resultados!$A$2:$ZZ$956, 62, MATCH($B$2, resultados!$A$1:$ZZ$1, 0))</f>
        <v>#N/A</v>
      </c>
      <c r="C68" t="e">
        <f>INDEX(resultados!$A$2:$ZZ$956, 62, MATCH($B$3, resultados!$A$1:$ZZ$1, 0))</f>
        <v>#N/A</v>
      </c>
    </row>
    <row r="69" spans="1:3" x14ac:dyDescent="0.3">
      <c r="A69" t="e">
        <f>INDEX(resultados!$A$2:$ZZ$956, 63, MATCH($B$1, resultados!$A$1:$ZZ$1, 0))</f>
        <v>#N/A</v>
      </c>
      <c r="B69" t="e">
        <f>INDEX(resultados!$A$2:$ZZ$956, 63, MATCH($B$2, resultados!$A$1:$ZZ$1, 0))</f>
        <v>#N/A</v>
      </c>
      <c r="C69" t="e">
        <f>INDEX(resultados!$A$2:$ZZ$956, 63, MATCH($B$3, resultados!$A$1:$ZZ$1, 0))</f>
        <v>#N/A</v>
      </c>
    </row>
    <row r="70" spans="1:3" x14ac:dyDescent="0.3">
      <c r="A70" t="e">
        <f>INDEX(resultados!$A$2:$ZZ$956, 64, MATCH($B$1, resultados!$A$1:$ZZ$1, 0))</f>
        <v>#N/A</v>
      </c>
      <c r="B70" t="e">
        <f>INDEX(resultados!$A$2:$ZZ$956, 64, MATCH($B$2, resultados!$A$1:$ZZ$1, 0))</f>
        <v>#N/A</v>
      </c>
      <c r="C70" t="e">
        <f>INDEX(resultados!$A$2:$ZZ$956, 64, MATCH($B$3, resultados!$A$1:$ZZ$1, 0))</f>
        <v>#N/A</v>
      </c>
    </row>
    <row r="71" spans="1:3" x14ac:dyDescent="0.3">
      <c r="A71" t="e">
        <f>INDEX(resultados!$A$2:$ZZ$956, 65, MATCH($B$1, resultados!$A$1:$ZZ$1, 0))</f>
        <v>#N/A</v>
      </c>
      <c r="B71" t="e">
        <f>INDEX(resultados!$A$2:$ZZ$956, 65, MATCH($B$2, resultados!$A$1:$ZZ$1, 0))</f>
        <v>#N/A</v>
      </c>
      <c r="C71" t="e">
        <f>INDEX(resultados!$A$2:$ZZ$956, 65, MATCH($B$3, resultados!$A$1:$ZZ$1, 0))</f>
        <v>#N/A</v>
      </c>
    </row>
    <row r="72" spans="1:3" x14ac:dyDescent="0.3">
      <c r="A72" t="e">
        <f>INDEX(resultados!$A$2:$ZZ$956, 66, MATCH($B$1, resultados!$A$1:$ZZ$1, 0))</f>
        <v>#N/A</v>
      </c>
      <c r="B72" t="e">
        <f>INDEX(resultados!$A$2:$ZZ$956, 66, MATCH($B$2, resultados!$A$1:$ZZ$1, 0))</f>
        <v>#N/A</v>
      </c>
      <c r="C72" t="e">
        <f>INDEX(resultados!$A$2:$ZZ$956, 66, MATCH($B$3, resultados!$A$1:$ZZ$1, 0))</f>
        <v>#N/A</v>
      </c>
    </row>
    <row r="73" spans="1:3" x14ac:dyDescent="0.3">
      <c r="A73" t="e">
        <f>INDEX(resultados!$A$2:$ZZ$956, 67, MATCH($B$1, resultados!$A$1:$ZZ$1, 0))</f>
        <v>#N/A</v>
      </c>
      <c r="B73" t="e">
        <f>INDEX(resultados!$A$2:$ZZ$956, 67, MATCH($B$2, resultados!$A$1:$ZZ$1, 0))</f>
        <v>#N/A</v>
      </c>
      <c r="C73" t="e">
        <f>INDEX(resultados!$A$2:$ZZ$956, 67, MATCH($B$3, resultados!$A$1:$ZZ$1, 0))</f>
        <v>#N/A</v>
      </c>
    </row>
    <row r="74" spans="1:3" x14ac:dyDescent="0.3">
      <c r="A74" t="e">
        <f>INDEX(resultados!$A$2:$ZZ$956, 68, MATCH($B$1, resultados!$A$1:$ZZ$1, 0))</f>
        <v>#N/A</v>
      </c>
      <c r="B74" t="e">
        <f>INDEX(resultados!$A$2:$ZZ$956, 68, MATCH($B$2, resultados!$A$1:$ZZ$1, 0))</f>
        <v>#N/A</v>
      </c>
      <c r="C74" t="e">
        <f>INDEX(resultados!$A$2:$ZZ$956, 68, MATCH($B$3, resultados!$A$1:$ZZ$1, 0))</f>
        <v>#N/A</v>
      </c>
    </row>
    <row r="75" spans="1:3" x14ac:dyDescent="0.3">
      <c r="A75" t="e">
        <f>INDEX(resultados!$A$2:$ZZ$956, 69, MATCH($B$1, resultados!$A$1:$ZZ$1, 0))</f>
        <v>#N/A</v>
      </c>
      <c r="B75" t="e">
        <f>INDEX(resultados!$A$2:$ZZ$956, 69, MATCH($B$2, resultados!$A$1:$ZZ$1, 0))</f>
        <v>#N/A</v>
      </c>
      <c r="C75" t="e">
        <f>INDEX(resultados!$A$2:$ZZ$956, 69, MATCH($B$3, resultados!$A$1:$ZZ$1, 0))</f>
        <v>#N/A</v>
      </c>
    </row>
    <row r="76" spans="1:3" x14ac:dyDescent="0.3">
      <c r="A76" t="e">
        <f>INDEX(resultados!$A$2:$ZZ$956, 70, MATCH($B$1, resultados!$A$1:$ZZ$1, 0))</f>
        <v>#N/A</v>
      </c>
      <c r="B76" t="e">
        <f>INDEX(resultados!$A$2:$ZZ$956, 70, MATCH($B$2, resultados!$A$1:$ZZ$1, 0))</f>
        <v>#N/A</v>
      </c>
      <c r="C76" t="e">
        <f>INDEX(resultados!$A$2:$ZZ$956, 70, MATCH($B$3, resultados!$A$1:$ZZ$1, 0))</f>
        <v>#N/A</v>
      </c>
    </row>
    <row r="77" spans="1:3" x14ac:dyDescent="0.3">
      <c r="A77" t="e">
        <f>INDEX(resultados!$A$2:$ZZ$956, 71, MATCH($B$1, resultados!$A$1:$ZZ$1, 0))</f>
        <v>#N/A</v>
      </c>
      <c r="B77" t="e">
        <f>INDEX(resultados!$A$2:$ZZ$956, 71, MATCH($B$2, resultados!$A$1:$ZZ$1, 0))</f>
        <v>#N/A</v>
      </c>
      <c r="C77" t="e">
        <f>INDEX(resultados!$A$2:$ZZ$956, 71, MATCH($B$3, resultados!$A$1:$ZZ$1, 0))</f>
        <v>#N/A</v>
      </c>
    </row>
    <row r="78" spans="1:3" x14ac:dyDescent="0.3">
      <c r="A78" t="e">
        <f>INDEX(resultados!$A$2:$ZZ$956, 72, MATCH($B$1, resultados!$A$1:$ZZ$1, 0))</f>
        <v>#N/A</v>
      </c>
      <c r="B78" t="e">
        <f>INDEX(resultados!$A$2:$ZZ$956, 72, MATCH($B$2, resultados!$A$1:$ZZ$1, 0))</f>
        <v>#N/A</v>
      </c>
      <c r="C78" t="e">
        <f>INDEX(resultados!$A$2:$ZZ$956, 72, MATCH($B$3, resultados!$A$1:$ZZ$1, 0))</f>
        <v>#N/A</v>
      </c>
    </row>
    <row r="79" spans="1:3" x14ac:dyDescent="0.3">
      <c r="A79" t="e">
        <f>INDEX(resultados!$A$2:$ZZ$956, 73, MATCH($B$1, resultados!$A$1:$ZZ$1, 0))</f>
        <v>#N/A</v>
      </c>
      <c r="B79" t="e">
        <f>INDEX(resultados!$A$2:$ZZ$956, 73, MATCH($B$2, resultados!$A$1:$ZZ$1, 0))</f>
        <v>#N/A</v>
      </c>
      <c r="C79" t="e">
        <f>INDEX(resultados!$A$2:$ZZ$956, 73, MATCH($B$3, resultados!$A$1:$ZZ$1, 0))</f>
        <v>#N/A</v>
      </c>
    </row>
    <row r="80" spans="1:3" x14ac:dyDescent="0.3">
      <c r="A80" t="e">
        <f>INDEX(resultados!$A$2:$ZZ$956, 74, MATCH($B$1, resultados!$A$1:$ZZ$1, 0))</f>
        <v>#N/A</v>
      </c>
      <c r="B80" t="e">
        <f>INDEX(resultados!$A$2:$ZZ$956, 74, MATCH($B$2, resultados!$A$1:$ZZ$1, 0))</f>
        <v>#N/A</v>
      </c>
      <c r="C80" t="e">
        <f>INDEX(resultados!$A$2:$ZZ$956, 74, MATCH($B$3, resultados!$A$1:$ZZ$1, 0))</f>
        <v>#N/A</v>
      </c>
    </row>
    <row r="81" spans="1:3" x14ac:dyDescent="0.3">
      <c r="A81" t="e">
        <f>INDEX(resultados!$A$2:$ZZ$956, 75, MATCH($B$1, resultados!$A$1:$ZZ$1, 0))</f>
        <v>#N/A</v>
      </c>
      <c r="B81" t="e">
        <f>INDEX(resultados!$A$2:$ZZ$956, 75, MATCH($B$2, resultados!$A$1:$ZZ$1, 0))</f>
        <v>#N/A</v>
      </c>
      <c r="C81" t="e">
        <f>INDEX(resultados!$A$2:$ZZ$956, 75, MATCH($B$3, resultados!$A$1:$ZZ$1, 0))</f>
        <v>#N/A</v>
      </c>
    </row>
    <row r="82" spans="1:3" x14ac:dyDescent="0.3">
      <c r="A82" t="e">
        <f>INDEX(resultados!$A$2:$ZZ$956, 76, MATCH($B$1, resultados!$A$1:$ZZ$1, 0))</f>
        <v>#N/A</v>
      </c>
      <c r="B82" t="e">
        <f>INDEX(resultados!$A$2:$ZZ$956, 76, MATCH($B$2, resultados!$A$1:$ZZ$1, 0))</f>
        <v>#N/A</v>
      </c>
      <c r="C82" t="e">
        <f>INDEX(resultados!$A$2:$ZZ$956, 76, MATCH($B$3, resultados!$A$1:$ZZ$1, 0))</f>
        <v>#N/A</v>
      </c>
    </row>
    <row r="83" spans="1:3" x14ac:dyDescent="0.3">
      <c r="A83" t="e">
        <f>INDEX(resultados!$A$2:$ZZ$956, 77, MATCH($B$1, resultados!$A$1:$ZZ$1, 0))</f>
        <v>#N/A</v>
      </c>
      <c r="B83" t="e">
        <f>INDEX(resultados!$A$2:$ZZ$956, 77, MATCH($B$2, resultados!$A$1:$ZZ$1, 0))</f>
        <v>#N/A</v>
      </c>
      <c r="C83" t="e">
        <f>INDEX(resultados!$A$2:$ZZ$956, 77, MATCH($B$3, resultados!$A$1:$ZZ$1, 0))</f>
        <v>#N/A</v>
      </c>
    </row>
    <row r="84" spans="1:3" x14ac:dyDescent="0.3">
      <c r="A84" t="e">
        <f>INDEX(resultados!$A$2:$ZZ$956, 78, MATCH($B$1, resultados!$A$1:$ZZ$1, 0))</f>
        <v>#N/A</v>
      </c>
      <c r="B84" t="e">
        <f>INDEX(resultados!$A$2:$ZZ$956, 78, MATCH($B$2, resultados!$A$1:$ZZ$1, 0))</f>
        <v>#N/A</v>
      </c>
      <c r="C84" t="e">
        <f>INDEX(resultados!$A$2:$ZZ$956, 78, MATCH($B$3, resultados!$A$1:$ZZ$1, 0))</f>
        <v>#N/A</v>
      </c>
    </row>
    <row r="85" spans="1:3" x14ac:dyDescent="0.3">
      <c r="A85" t="e">
        <f>INDEX(resultados!$A$2:$ZZ$956, 79, MATCH($B$1, resultados!$A$1:$ZZ$1, 0))</f>
        <v>#N/A</v>
      </c>
      <c r="B85" t="e">
        <f>INDEX(resultados!$A$2:$ZZ$956, 79, MATCH($B$2, resultados!$A$1:$ZZ$1, 0))</f>
        <v>#N/A</v>
      </c>
      <c r="C85" t="e">
        <f>INDEX(resultados!$A$2:$ZZ$956, 79, MATCH($B$3, resultados!$A$1:$ZZ$1, 0))</f>
        <v>#N/A</v>
      </c>
    </row>
    <row r="86" spans="1:3" x14ac:dyDescent="0.3">
      <c r="A86" t="e">
        <f>INDEX(resultados!$A$2:$ZZ$956, 80, MATCH($B$1, resultados!$A$1:$ZZ$1, 0))</f>
        <v>#N/A</v>
      </c>
      <c r="B86" t="e">
        <f>INDEX(resultados!$A$2:$ZZ$956, 80, MATCH($B$2, resultados!$A$1:$ZZ$1, 0))</f>
        <v>#N/A</v>
      </c>
      <c r="C86" t="e">
        <f>INDEX(resultados!$A$2:$ZZ$956, 80, MATCH($B$3, resultados!$A$1:$ZZ$1, 0))</f>
        <v>#N/A</v>
      </c>
    </row>
    <row r="87" spans="1:3" x14ac:dyDescent="0.3">
      <c r="A87" t="e">
        <f>INDEX(resultados!$A$2:$ZZ$956, 81, MATCH($B$1, resultados!$A$1:$ZZ$1, 0))</f>
        <v>#N/A</v>
      </c>
      <c r="B87" t="e">
        <f>INDEX(resultados!$A$2:$ZZ$956, 81, MATCH($B$2, resultados!$A$1:$ZZ$1, 0))</f>
        <v>#N/A</v>
      </c>
      <c r="C87" t="e">
        <f>INDEX(resultados!$A$2:$ZZ$956, 81, MATCH($B$3, resultados!$A$1:$ZZ$1, 0))</f>
        <v>#N/A</v>
      </c>
    </row>
    <row r="88" spans="1:3" x14ac:dyDescent="0.3">
      <c r="A88" t="e">
        <f>INDEX(resultados!$A$2:$ZZ$956, 82, MATCH($B$1, resultados!$A$1:$ZZ$1, 0))</f>
        <v>#N/A</v>
      </c>
      <c r="B88" t="e">
        <f>INDEX(resultados!$A$2:$ZZ$956, 82, MATCH($B$2, resultados!$A$1:$ZZ$1, 0))</f>
        <v>#N/A</v>
      </c>
      <c r="C88" t="e">
        <f>INDEX(resultados!$A$2:$ZZ$956, 82, MATCH($B$3, resultados!$A$1:$ZZ$1, 0))</f>
        <v>#N/A</v>
      </c>
    </row>
    <row r="89" spans="1:3" x14ac:dyDescent="0.3">
      <c r="A89" t="e">
        <f>INDEX(resultados!$A$2:$ZZ$956, 83, MATCH($B$1, resultados!$A$1:$ZZ$1, 0))</f>
        <v>#N/A</v>
      </c>
      <c r="B89" t="e">
        <f>INDEX(resultados!$A$2:$ZZ$956, 83, MATCH($B$2, resultados!$A$1:$ZZ$1, 0))</f>
        <v>#N/A</v>
      </c>
      <c r="C89" t="e">
        <f>INDEX(resultados!$A$2:$ZZ$956, 83, MATCH($B$3, resultados!$A$1:$ZZ$1, 0))</f>
        <v>#N/A</v>
      </c>
    </row>
    <row r="90" spans="1:3" x14ac:dyDescent="0.3">
      <c r="A90" t="e">
        <f>INDEX(resultados!$A$2:$ZZ$956, 84, MATCH($B$1, resultados!$A$1:$ZZ$1, 0))</f>
        <v>#N/A</v>
      </c>
      <c r="B90" t="e">
        <f>INDEX(resultados!$A$2:$ZZ$956, 84, MATCH($B$2, resultados!$A$1:$ZZ$1, 0))</f>
        <v>#N/A</v>
      </c>
      <c r="C90" t="e">
        <f>INDEX(resultados!$A$2:$ZZ$956, 84, MATCH($B$3, resultados!$A$1:$ZZ$1, 0))</f>
        <v>#N/A</v>
      </c>
    </row>
    <row r="91" spans="1:3" x14ac:dyDescent="0.3">
      <c r="A91" t="e">
        <f>INDEX(resultados!$A$2:$ZZ$956, 85, MATCH($B$1, resultados!$A$1:$ZZ$1, 0))</f>
        <v>#N/A</v>
      </c>
      <c r="B91" t="e">
        <f>INDEX(resultados!$A$2:$ZZ$956, 85, MATCH($B$2, resultados!$A$1:$ZZ$1, 0))</f>
        <v>#N/A</v>
      </c>
      <c r="C91" t="e">
        <f>INDEX(resultados!$A$2:$ZZ$956, 85, MATCH($B$3, resultados!$A$1:$ZZ$1, 0))</f>
        <v>#N/A</v>
      </c>
    </row>
    <row r="92" spans="1:3" x14ac:dyDescent="0.3">
      <c r="A92" t="e">
        <f>INDEX(resultados!$A$2:$ZZ$956, 86, MATCH($B$1, resultados!$A$1:$ZZ$1, 0))</f>
        <v>#N/A</v>
      </c>
      <c r="B92" t="e">
        <f>INDEX(resultados!$A$2:$ZZ$956, 86, MATCH($B$2, resultados!$A$1:$ZZ$1, 0))</f>
        <v>#N/A</v>
      </c>
      <c r="C92" t="e">
        <f>INDEX(resultados!$A$2:$ZZ$956, 86, MATCH($B$3, resultados!$A$1:$ZZ$1, 0))</f>
        <v>#N/A</v>
      </c>
    </row>
    <row r="93" spans="1:3" x14ac:dyDescent="0.3">
      <c r="A93" t="e">
        <f>INDEX(resultados!$A$2:$ZZ$956, 87, MATCH($B$1, resultados!$A$1:$ZZ$1, 0))</f>
        <v>#N/A</v>
      </c>
      <c r="B93" t="e">
        <f>INDEX(resultados!$A$2:$ZZ$956, 87, MATCH($B$2, resultados!$A$1:$ZZ$1, 0))</f>
        <v>#N/A</v>
      </c>
      <c r="C93" t="e">
        <f>INDEX(resultados!$A$2:$ZZ$956, 87, MATCH($B$3, resultados!$A$1:$ZZ$1, 0))</f>
        <v>#N/A</v>
      </c>
    </row>
    <row r="94" spans="1:3" x14ac:dyDescent="0.3">
      <c r="A94" t="e">
        <f>INDEX(resultados!$A$2:$ZZ$956, 88, MATCH($B$1, resultados!$A$1:$ZZ$1, 0))</f>
        <v>#N/A</v>
      </c>
      <c r="B94" t="e">
        <f>INDEX(resultados!$A$2:$ZZ$956, 88, MATCH($B$2, resultados!$A$1:$ZZ$1, 0))</f>
        <v>#N/A</v>
      </c>
      <c r="C94" t="e">
        <f>INDEX(resultados!$A$2:$ZZ$956, 88, MATCH($B$3, resultados!$A$1:$ZZ$1, 0))</f>
        <v>#N/A</v>
      </c>
    </row>
    <row r="95" spans="1:3" x14ac:dyDescent="0.3">
      <c r="A95" t="e">
        <f>INDEX(resultados!$A$2:$ZZ$956, 89, MATCH($B$1, resultados!$A$1:$ZZ$1, 0))</f>
        <v>#N/A</v>
      </c>
      <c r="B95" t="e">
        <f>INDEX(resultados!$A$2:$ZZ$956, 89, MATCH($B$2, resultados!$A$1:$ZZ$1, 0))</f>
        <v>#N/A</v>
      </c>
      <c r="C95" t="e">
        <f>INDEX(resultados!$A$2:$ZZ$956, 89, MATCH($B$3, resultados!$A$1:$ZZ$1, 0))</f>
        <v>#N/A</v>
      </c>
    </row>
    <row r="96" spans="1:3" x14ac:dyDescent="0.3">
      <c r="A96" t="e">
        <f>INDEX(resultados!$A$2:$ZZ$956, 90, MATCH($B$1, resultados!$A$1:$ZZ$1, 0))</f>
        <v>#N/A</v>
      </c>
      <c r="B96" t="e">
        <f>INDEX(resultados!$A$2:$ZZ$956, 90, MATCH($B$2, resultados!$A$1:$ZZ$1, 0))</f>
        <v>#N/A</v>
      </c>
      <c r="C96" t="e">
        <f>INDEX(resultados!$A$2:$ZZ$956, 90, MATCH($B$3, resultados!$A$1:$ZZ$1, 0))</f>
        <v>#N/A</v>
      </c>
    </row>
    <row r="97" spans="1:3" x14ac:dyDescent="0.3">
      <c r="A97" t="e">
        <f>INDEX(resultados!$A$2:$ZZ$956, 91, MATCH($B$1, resultados!$A$1:$ZZ$1, 0))</f>
        <v>#N/A</v>
      </c>
      <c r="B97" t="e">
        <f>INDEX(resultados!$A$2:$ZZ$956, 91, MATCH($B$2, resultados!$A$1:$ZZ$1, 0))</f>
        <v>#N/A</v>
      </c>
      <c r="C97" t="e">
        <f>INDEX(resultados!$A$2:$ZZ$956, 91, MATCH($B$3, resultados!$A$1:$ZZ$1, 0))</f>
        <v>#N/A</v>
      </c>
    </row>
    <row r="98" spans="1:3" x14ac:dyDescent="0.3">
      <c r="A98" t="e">
        <f>INDEX(resultados!$A$2:$ZZ$956, 92, MATCH($B$1, resultados!$A$1:$ZZ$1, 0))</f>
        <v>#N/A</v>
      </c>
      <c r="B98" t="e">
        <f>INDEX(resultados!$A$2:$ZZ$956, 92, MATCH($B$2, resultados!$A$1:$ZZ$1, 0))</f>
        <v>#N/A</v>
      </c>
      <c r="C98" t="e">
        <f>INDEX(resultados!$A$2:$ZZ$956, 92, MATCH($B$3, resultados!$A$1:$ZZ$1, 0))</f>
        <v>#N/A</v>
      </c>
    </row>
    <row r="99" spans="1:3" x14ac:dyDescent="0.3">
      <c r="A99" t="e">
        <f>INDEX(resultados!$A$2:$ZZ$956, 93, MATCH($B$1, resultados!$A$1:$ZZ$1, 0))</f>
        <v>#N/A</v>
      </c>
      <c r="B99" t="e">
        <f>INDEX(resultados!$A$2:$ZZ$956, 93, MATCH($B$2, resultados!$A$1:$ZZ$1, 0))</f>
        <v>#N/A</v>
      </c>
      <c r="C99" t="e">
        <f>INDEX(resultados!$A$2:$ZZ$956, 93, MATCH($B$3, resultados!$A$1:$ZZ$1, 0))</f>
        <v>#N/A</v>
      </c>
    </row>
    <row r="100" spans="1:3" x14ac:dyDescent="0.3">
      <c r="A100" t="e">
        <f>INDEX(resultados!$A$2:$ZZ$956, 94, MATCH($B$1, resultados!$A$1:$ZZ$1, 0))</f>
        <v>#N/A</v>
      </c>
      <c r="B100" t="e">
        <f>INDEX(resultados!$A$2:$ZZ$956, 94, MATCH($B$2, resultados!$A$1:$ZZ$1, 0))</f>
        <v>#N/A</v>
      </c>
      <c r="C100" t="e">
        <f>INDEX(resultados!$A$2:$ZZ$956, 94, MATCH($B$3, resultados!$A$1:$ZZ$1, 0))</f>
        <v>#N/A</v>
      </c>
    </row>
    <row r="101" spans="1:3" x14ac:dyDescent="0.3">
      <c r="A101" t="e">
        <f>INDEX(resultados!$A$2:$ZZ$956, 95, MATCH($B$1, resultados!$A$1:$ZZ$1, 0))</f>
        <v>#N/A</v>
      </c>
      <c r="B101" t="e">
        <f>INDEX(resultados!$A$2:$ZZ$956, 95, MATCH($B$2, resultados!$A$1:$ZZ$1, 0))</f>
        <v>#N/A</v>
      </c>
      <c r="C101" t="e">
        <f>INDEX(resultados!$A$2:$ZZ$956, 95, MATCH($B$3, resultados!$A$1:$ZZ$1, 0))</f>
        <v>#N/A</v>
      </c>
    </row>
    <row r="102" spans="1:3" x14ac:dyDescent="0.3">
      <c r="A102" t="e">
        <f>INDEX(resultados!$A$2:$ZZ$956, 96, MATCH($B$1, resultados!$A$1:$ZZ$1, 0))</f>
        <v>#N/A</v>
      </c>
      <c r="B102" t="e">
        <f>INDEX(resultados!$A$2:$ZZ$956, 96, MATCH($B$2, resultados!$A$1:$ZZ$1, 0))</f>
        <v>#N/A</v>
      </c>
      <c r="C102" t="e">
        <f>INDEX(resultados!$A$2:$ZZ$956, 96, MATCH($B$3, resultados!$A$1:$ZZ$1, 0))</f>
        <v>#N/A</v>
      </c>
    </row>
    <row r="103" spans="1:3" x14ac:dyDescent="0.3">
      <c r="A103" t="e">
        <f>INDEX(resultados!$A$2:$ZZ$956, 97, MATCH($B$1, resultados!$A$1:$ZZ$1, 0))</f>
        <v>#N/A</v>
      </c>
      <c r="B103" t="e">
        <f>INDEX(resultados!$A$2:$ZZ$956, 97, MATCH($B$2, resultados!$A$1:$ZZ$1, 0))</f>
        <v>#N/A</v>
      </c>
      <c r="C103" t="e">
        <f>INDEX(resultados!$A$2:$ZZ$956, 97, MATCH($B$3, resultados!$A$1:$ZZ$1, 0))</f>
        <v>#N/A</v>
      </c>
    </row>
    <row r="104" spans="1:3" x14ac:dyDescent="0.3">
      <c r="A104" t="e">
        <f>INDEX(resultados!$A$2:$ZZ$956, 98, MATCH($B$1, resultados!$A$1:$ZZ$1, 0))</f>
        <v>#N/A</v>
      </c>
      <c r="B104" t="e">
        <f>INDEX(resultados!$A$2:$ZZ$956, 98, MATCH($B$2, resultados!$A$1:$ZZ$1, 0))</f>
        <v>#N/A</v>
      </c>
      <c r="C104" t="e">
        <f>INDEX(resultados!$A$2:$ZZ$956, 98, MATCH($B$3, resultados!$A$1:$ZZ$1, 0))</f>
        <v>#N/A</v>
      </c>
    </row>
    <row r="105" spans="1:3" x14ac:dyDescent="0.3">
      <c r="A105" t="e">
        <f>INDEX(resultados!$A$2:$ZZ$956, 99, MATCH($B$1, resultados!$A$1:$ZZ$1, 0))</f>
        <v>#N/A</v>
      </c>
      <c r="B105" t="e">
        <f>INDEX(resultados!$A$2:$ZZ$956, 99, MATCH($B$2, resultados!$A$1:$ZZ$1, 0))</f>
        <v>#N/A</v>
      </c>
      <c r="C105" t="e">
        <f>INDEX(resultados!$A$2:$ZZ$956, 99, MATCH($B$3, resultados!$A$1:$ZZ$1, 0))</f>
        <v>#N/A</v>
      </c>
    </row>
    <row r="106" spans="1:3" x14ac:dyDescent="0.3">
      <c r="A106" t="e">
        <f>INDEX(resultados!$A$2:$ZZ$956, 100, MATCH($B$1, resultados!$A$1:$ZZ$1, 0))</f>
        <v>#N/A</v>
      </c>
      <c r="B106" t="e">
        <f>INDEX(resultados!$A$2:$ZZ$956, 100, MATCH($B$2, resultados!$A$1:$ZZ$1, 0))</f>
        <v>#N/A</v>
      </c>
      <c r="C106" t="e">
        <f>INDEX(resultados!$A$2:$ZZ$956, 100, MATCH($B$3, resultados!$A$1:$ZZ$1, 0))</f>
        <v>#N/A</v>
      </c>
    </row>
    <row r="107" spans="1:3" x14ac:dyDescent="0.3">
      <c r="A107" t="e">
        <f>INDEX(resultados!$A$2:$ZZ$956, 101, MATCH($B$1, resultados!$A$1:$ZZ$1, 0))</f>
        <v>#N/A</v>
      </c>
      <c r="B107" t="e">
        <f>INDEX(resultados!$A$2:$ZZ$956, 101, MATCH($B$2, resultados!$A$1:$ZZ$1, 0))</f>
        <v>#N/A</v>
      </c>
      <c r="C107" t="e">
        <f>INDEX(resultados!$A$2:$ZZ$956, 101, MATCH($B$3, resultados!$A$1:$ZZ$1, 0))</f>
        <v>#N/A</v>
      </c>
    </row>
    <row r="108" spans="1:3" x14ac:dyDescent="0.3">
      <c r="A108" t="e">
        <f>INDEX(resultados!$A$2:$ZZ$956, 102, MATCH($B$1, resultados!$A$1:$ZZ$1, 0))</f>
        <v>#N/A</v>
      </c>
      <c r="B108" t="e">
        <f>INDEX(resultados!$A$2:$ZZ$956, 102, MATCH($B$2, resultados!$A$1:$ZZ$1, 0))</f>
        <v>#N/A</v>
      </c>
      <c r="C108" t="e">
        <f>INDEX(resultados!$A$2:$ZZ$956, 102, MATCH($B$3, resultados!$A$1:$ZZ$1, 0))</f>
        <v>#N/A</v>
      </c>
    </row>
    <row r="109" spans="1:3" x14ac:dyDescent="0.3">
      <c r="A109" t="e">
        <f>INDEX(resultados!$A$2:$ZZ$956, 103, MATCH($B$1, resultados!$A$1:$ZZ$1, 0))</f>
        <v>#N/A</v>
      </c>
      <c r="B109" t="e">
        <f>INDEX(resultados!$A$2:$ZZ$956, 103, MATCH($B$2, resultados!$A$1:$ZZ$1, 0))</f>
        <v>#N/A</v>
      </c>
      <c r="C109" t="e">
        <f>INDEX(resultados!$A$2:$ZZ$956, 103, MATCH($B$3, resultados!$A$1:$ZZ$1, 0))</f>
        <v>#N/A</v>
      </c>
    </row>
    <row r="110" spans="1:3" x14ac:dyDescent="0.3">
      <c r="A110" t="e">
        <f>INDEX(resultados!$A$2:$ZZ$956, 104, MATCH($B$1, resultados!$A$1:$ZZ$1, 0))</f>
        <v>#N/A</v>
      </c>
      <c r="B110" t="e">
        <f>INDEX(resultados!$A$2:$ZZ$956, 104, MATCH($B$2, resultados!$A$1:$ZZ$1, 0))</f>
        <v>#N/A</v>
      </c>
      <c r="C110" t="e">
        <f>INDEX(resultados!$A$2:$ZZ$956, 104, MATCH($B$3, resultados!$A$1:$ZZ$1, 0))</f>
        <v>#N/A</v>
      </c>
    </row>
    <row r="111" spans="1:3" x14ac:dyDescent="0.3">
      <c r="A111" t="e">
        <f>INDEX(resultados!$A$2:$ZZ$956, 105, MATCH($B$1, resultados!$A$1:$ZZ$1, 0))</f>
        <v>#N/A</v>
      </c>
      <c r="B111" t="e">
        <f>INDEX(resultados!$A$2:$ZZ$956, 105, MATCH($B$2, resultados!$A$1:$ZZ$1, 0))</f>
        <v>#N/A</v>
      </c>
      <c r="C111" t="e">
        <f>INDEX(resultados!$A$2:$ZZ$956, 105, MATCH($B$3, resultados!$A$1:$ZZ$1, 0))</f>
        <v>#N/A</v>
      </c>
    </row>
    <row r="112" spans="1:3" x14ac:dyDescent="0.3">
      <c r="A112" t="e">
        <f>INDEX(resultados!$A$2:$ZZ$956, 106, MATCH($B$1, resultados!$A$1:$ZZ$1, 0))</f>
        <v>#N/A</v>
      </c>
      <c r="B112" t="e">
        <f>INDEX(resultados!$A$2:$ZZ$956, 106, MATCH($B$2, resultados!$A$1:$ZZ$1, 0))</f>
        <v>#N/A</v>
      </c>
      <c r="C112" t="e">
        <f>INDEX(resultados!$A$2:$ZZ$956, 106, MATCH($B$3, resultados!$A$1:$ZZ$1, 0))</f>
        <v>#N/A</v>
      </c>
    </row>
    <row r="113" spans="1:3" x14ac:dyDescent="0.3">
      <c r="A113" t="e">
        <f>INDEX(resultados!$A$2:$ZZ$956, 107, MATCH($B$1, resultados!$A$1:$ZZ$1, 0))</f>
        <v>#N/A</v>
      </c>
      <c r="B113" t="e">
        <f>INDEX(resultados!$A$2:$ZZ$956, 107, MATCH($B$2, resultados!$A$1:$ZZ$1, 0))</f>
        <v>#N/A</v>
      </c>
      <c r="C113" t="e">
        <f>INDEX(resultados!$A$2:$ZZ$956, 107, MATCH($B$3, resultados!$A$1:$ZZ$1, 0))</f>
        <v>#N/A</v>
      </c>
    </row>
    <row r="114" spans="1:3" x14ac:dyDescent="0.3">
      <c r="A114" t="e">
        <f>INDEX(resultados!$A$2:$ZZ$956, 108, MATCH($B$1, resultados!$A$1:$ZZ$1, 0))</f>
        <v>#N/A</v>
      </c>
      <c r="B114" t="e">
        <f>INDEX(resultados!$A$2:$ZZ$956, 108, MATCH($B$2, resultados!$A$1:$ZZ$1, 0))</f>
        <v>#N/A</v>
      </c>
      <c r="C114" t="e">
        <f>INDEX(resultados!$A$2:$ZZ$956, 108, MATCH($B$3, resultados!$A$1:$ZZ$1, 0))</f>
        <v>#N/A</v>
      </c>
    </row>
    <row r="115" spans="1:3" x14ac:dyDescent="0.3">
      <c r="A115" t="e">
        <f>INDEX(resultados!$A$2:$ZZ$956, 109, MATCH($B$1, resultados!$A$1:$ZZ$1, 0))</f>
        <v>#N/A</v>
      </c>
      <c r="B115" t="e">
        <f>INDEX(resultados!$A$2:$ZZ$956, 109, MATCH($B$2, resultados!$A$1:$ZZ$1, 0))</f>
        <v>#N/A</v>
      </c>
      <c r="C115" t="e">
        <f>INDEX(resultados!$A$2:$ZZ$956, 109, MATCH($B$3, resultados!$A$1:$ZZ$1, 0))</f>
        <v>#N/A</v>
      </c>
    </row>
    <row r="116" spans="1:3" x14ac:dyDescent="0.3">
      <c r="A116" t="e">
        <f>INDEX(resultados!$A$2:$ZZ$956, 110, MATCH($B$1, resultados!$A$1:$ZZ$1, 0))</f>
        <v>#N/A</v>
      </c>
      <c r="B116" t="e">
        <f>INDEX(resultados!$A$2:$ZZ$956, 110, MATCH($B$2, resultados!$A$1:$ZZ$1, 0))</f>
        <v>#N/A</v>
      </c>
      <c r="C116" t="e">
        <f>INDEX(resultados!$A$2:$ZZ$956, 110, MATCH($B$3, resultados!$A$1:$ZZ$1, 0))</f>
        <v>#N/A</v>
      </c>
    </row>
    <row r="117" spans="1:3" x14ac:dyDescent="0.3">
      <c r="A117" t="e">
        <f>INDEX(resultados!$A$2:$ZZ$956, 111, MATCH($B$1, resultados!$A$1:$ZZ$1, 0))</f>
        <v>#N/A</v>
      </c>
      <c r="B117" t="e">
        <f>INDEX(resultados!$A$2:$ZZ$956, 111, MATCH($B$2, resultados!$A$1:$ZZ$1, 0))</f>
        <v>#N/A</v>
      </c>
      <c r="C117" t="e">
        <f>INDEX(resultados!$A$2:$ZZ$956, 111, MATCH($B$3, resultados!$A$1:$ZZ$1, 0))</f>
        <v>#N/A</v>
      </c>
    </row>
    <row r="118" spans="1:3" x14ac:dyDescent="0.3">
      <c r="A118" t="e">
        <f>INDEX(resultados!$A$2:$ZZ$956, 112, MATCH($B$1, resultados!$A$1:$ZZ$1, 0))</f>
        <v>#N/A</v>
      </c>
      <c r="B118" t="e">
        <f>INDEX(resultados!$A$2:$ZZ$956, 112, MATCH($B$2, resultados!$A$1:$ZZ$1, 0))</f>
        <v>#N/A</v>
      </c>
      <c r="C118" t="e">
        <f>INDEX(resultados!$A$2:$ZZ$956, 112, MATCH($B$3, resultados!$A$1:$ZZ$1, 0))</f>
        <v>#N/A</v>
      </c>
    </row>
    <row r="119" spans="1:3" x14ac:dyDescent="0.3">
      <c r="A119" t="e">
        <f>INDEX(resultados!$A$2:$ZZ$956, 113, MATCH($B$1, resultados!$A$1:$ZZ$1, 0))</f>
        <v>#N/A</v>
      </c>
      <c r="B119" t="e">
        <f>INDEX(resultados!$A$2:$ZZ$956, 113, MATCH($B$2, resultados!$A$1:$ZZ$1, 0))</f>
        <v>#N/A</v>
      </c>
      <c r="C119" t="e">
        <f>INDEX(resultados!$A$2:$ZZ$956, 113, MATCH($B$3, resultados!$A$1:$ZZ$1, 0))</f>
        <v>#N/A</v>
      </c>
    </row>
    <row r="120" spans="1:3" x14ac:dyDescent="0.3">
      <c r="A120" t="e">
        <f>INDEX(resultados!$A$2:$ZZ$956, 114, MATCH($B$1, resultados!$A$1:$ZZ$1, 0))</f>
        <v>#N/A</v>
      </c>
      <c r="B120" t="e">
        <f>INDEX(resultados!$A$2:$ZZ$956, 114, MATCH($B$2, resultados!$A$1:$ZZ$1, 0))</f>
        <v>#N/A</v>
      </c>
      <c r="C120" t="e">
        <f>INDEX(resultados!$A$2:$ZZ$956, 114, MATCH($B$3, resultados!$A$1:$ZZ$1, 0))</f>
        <v>#N/A</v>
      </c>
    </row>
    <row r="121" spans="1:3" x14ac:dyDescent="0.3">
      <c r="A121" t="e">
        <f>INDEX(resultados!$A$2:$ZZ$956, 115, MATCH($B$1, resultados!$A$1:$ZZ$1, 0))</f>
        <v>#N/A</v>
      </c>
      <c r="B121" t="e">
        <f>INDEX(resultados!$A$2:$ZZ$956, 115, MATCH($B$2, resultados!$A$1:$ZZ$1, 0))</f>
        <v>#N/A</v>
      </c>
      <c r="C121" t="e">
        <f>INDEX(resultados!$A$2:$ZZ$956, 115, MATCH($B$3, resultados!$A$1:$ZZ$1, 0))</f>
        <v>#N/A</v>
      </c>
    </row>
    <row r="122" spans="1:3" x14ac:dyDescent="0.3">
      <c r="A122" t="e">
        <f>INDEX(resultados!$A$2:$ZZ$956, 116, MATCH($B$1, resultados!$A$1:$ZZ$1, 0))</f>
        <v>#N/A</v>
      </c>
      <c r="B122" t="e">
        <f>INDEX(resultados!$A$2:$ZZ$956, 116, MATCH($B$2, resultados!$A$1:$ZZ$1, 0))</f>
        <v>#N/A</v>
      </c>
      <c r="C122" t="e">
        <f>INDEX(resultados!$A$2:$ZZ$956, 116, MATCH($B$3, resultados!$A$1:$ZZ$1, 0))</f>
        <v>#N/A</v>
      </c>
    </row>
    <row r="123" spans="1:3" x14ac:dyDescent="0.3">
      <c r="A123" t="e">
        <f>INDEX(resultados!$A$2:$ZZ$956, 117, MATCH($B$1, resultados!$A$1:$ZZ$1, 0))</f>
        <v>#N/A</v>
      </c>
      <c r="B123" t="e">
        <f>INDEX(resultados!$A$2:$ZZ$956, 117, MATCH($B$2, resultados!$A$1:$ZZ$1, 0))</f>
        <v>#N/A</v>
      </c>
      <c r="C123" t="e">
        <f>INDEX(resultados!$A$2:$ZZ$956, 117, MATCH($B$3, resultados!$A$1:$ZZ$1, 0))</f>
        <v>#N/A</v>
      </c>
    </row>
    <row r="124" spans="1:3" x14ac:dyDescent="0.3">
      <c r="A124" t="e">
        <f>INDEX(resultados!$A$2:$ZZ$956, 118, MATCH($B$1, resultados!$A$1:$ZZ$1, 0))</f>
        <v>#N/A</v>
      </c>
      <c r="B124" t="e">
        <f>INDEX(resultados!$A$2:$ZZ$956, 118, MATCH($B$2, resultados!$A$1:$ZZ$1, 0))</f>
        <v>#N/A</v>
      </c>
      <c r="C124" t="e">
        <f>INDEX(resultados!$A$2:$ZZ$956, 118, MATCH($B$3, resultados!$A$1:$ZZ$1, 0))</f>
        <v>#N/A</v>
      </c>
    </row>
    <row r="125" spans="1:3" x14ac:dyDescent="0.3">
      <c r="A125" t="e">
        <f>INDEX(resultados!$A$2:$ZZ$956, 119, MATCH($B$1, resultados!$A$1:$ZZ$1, 0))</f>
        <v>#N/A</v>
      </c>
      <c r="B125" t="e">
        <f>INDEX(resultados!$A$2:$ZZ$956, 119, MATCH($B$2, resultados!$A$1:$ZZ$1, 0))</f>
        <v>#N/A</v>
      </c>
      <c r="C125" t="e">
        <f>INDEX(resultados!$A$2:$ZZ$956, 119, MATCH($B$3, resultados!$A$1:$ZZ$1, 0))</f>
        <v>#N/A</v>
      </c>
    </row>
    <row r="126" spans="1:3" x14ac:dyDescent="0.3">
      <c r="A126" t="e">
        <f>INDEX(resultados!$A$2:$ZZ$956, 120, MATCH($B$1, resultados!$A$1:$ZZ$1, 0))</f>
        <v>#N/A</v>
      </c>
      <c r="B126" t="e">
        <f>INDEX(resultados!$A$2:$ZZ$956, 120, MATCH($B$2, resultados!$A$1:$ZZ$1, 0))</f>
        <v>#N/A</v>
      </c>
      <c r="C126" t="e">
        <f>INDEX(resultados!$A$2:$ZZ$956, 120, MATCH($B$3, resultados!$A$1:$ZZ$1, 0))</f>
        <v>#N/A</v>
      </c>
    </row>
    <row r="127" spans="1:3" x14ac:dyDescent="0.3">
      <c r="A127" t="e">
        <f>INDEX(resultados!$A$2:$ZZ$956, 121, MATCH($B$1, resultados!$A$1:$ZZ$1, 0))</f>
        <v>#N/A</v>
      </c>
      <c r="B127" t="e">
        <f>INDEX(resultados!$A$2:$ZZ$956, 121, MATCH($B$2, resultados!$A$1:$ZZ$1, 0))</f>
        <v>#N/A</v>
      </c>
      <c r="C127" t="e">
        <f>INDEX(resultados!$A$2:$ZZ$956, 121, MATCH($B$3, resultados!$A$1:$ZZ$1, 0))</f>
        <v>#N/A</v>
      </c>
    </row>
    <row r="128" spans="1:3" x14ac:dyDescent="0.3">
      <c r="A128" t="e">
        <f>INDEX(resultados!$A$2:$ZZ$956, 122, MATCH($B$1, resultados!$A$1:$ZZ$1, 0))</f>
        <v>#N/A</v>
      </c>
      <c r="B128" t="e">
        <f>INDEX(resultados!$A$2:$ZZ$956, 122, MATCH($B$2, resultados!$A$1:$ZZ$1, 0))</f>
        <v>#N/A</v>
      </c>
      <c r="C128" t="e">
        <f>INDEX(resultados!$A$2:$ZZ$956, 122, MATCH($B$3, resultados!$A$1:$ZZ$1, 0))</f>
        <v>#N/A</v>
      </c>
    </row>
    <row r="129" spans="1:3" x14ac:dyDescent="0.3">
      <c r="A129" t="e">
        <f>INDEX(resultados!$A$2:$ZZ$956, 123, MATCH($B$1, resultados!$A$1:$ZZ$1, 0))</f>
        <v>#N/A</v>
      </c>
      <c r="B129" t="e">
        <f>INDEX(resultados!$A$2:$ZZ$956, 123, MATCH($B$2, resultados!$A$1:$ZZ$1, 0))</f>
        <v>#N/A</v>
      </c>
      <c r="C129" t="e">
        <f>INDEX(resultados!$A$2:$ZZ$956, 123, MATCH($B$3, resultados!$A$1:$ZZ$1, 0))</f>
        <v>#N/A</v>
      </c>
    </row>
    <row r="130" spans="1:3" x14ac:dyDescent="0.3">
      <c r="A130" t="e">
        <f>INDEX(resultados!$A$2:$ZZ$956, 124, MATCH($B$1, resultados!$A$1:$ZZ$1, 0))</f>
        <v>#N/A</v>
      </c>
      <c r="B130" t="e">
        <f>INDEX(resultados!$A$2:$ZZ$956, 124, MATCH($B$2, resultados!$A$1:$ZZ$1, 0))</f>
        <v>#N/A</v>
      </c>
      <c r="C130" t="e">
        <f>INDEX(resultados!$A$2:$ZZ$956, 124, MATCH($B$3, resultados!$A$1:$ZZ$1, 0))</f>
        <v>#N/A</v>
      </c>
    </row>
    <row r="131" spans="1:3" x14ac:dyDescent="0.3">
      <c r="A131" t="e">
        <f>INDEX(resultados!$A$2:$ZZ$956, 125, MATCH($B$1, resultados!$A$1:$ZZ$1, 0))</f>
        <v>#N/A</v>
      </c>
      <c r="B131" t="e">
        <f>INDEX(resultados!$A$2:$ZZ$956, 125, MATCH($B$2, resultados!$A$1:$ZZ$1, 0))</f>
        <v>#N/A</v>
      </c>
      <c r="C131" t="e">
        <f>INDEX(resultados!$A$2:$ZZ$956, 125, MATCH($B$3, resultados!$A$1:$ZZ$1, 0))</f>
        <v>#N/A</v>
      </c>
    </row>
    <row r="132" spans="1:3" x14ac:dyDescent="0.3">
      <c r="A132" t="e">
        <f>INDEX(resultados!$A$2:$ZZ$956, 126, MATCH($B$1, resultados!$A$1:$ZZ$1, 0))</f>
        <v>#N/A</v>
      </c>
      <c r="B132" t="e">
        <f>INDEX(resultados!$A$2:$ZZ$956, 126, MATCH($B$2, resultados!$A$1:$ZZ$1, 0))</f>
        <v>#N/A</v>
      </c>
      <c r="C132" t="e">
        <f>INDEX(resultados!$A$2:$ZZ$956, 126, MATCH($B$3, resultados!$A$1:$ZZ$1, 0))</f>
        <v>#N/A</v>
      </c>
    </row>
    <row r="133" spans="1:3" x14ac:dyDescent="0.3">
      <c r="A133" t="e">
        <f>INDEX(resultados!$A$2:$ZZ$956, 127, MATCH($B$1, resultados!$A$1:$ZZ$1, 0))</f>
        <v>#N/A</v>
      </c>
      <c r="B133" t="e">
        <f>INDEX(resultados!$A$2:$ZZ$956, 127, MATCH($B$2, resultados!$A$1:$ZZ$1, 0))</f>
        <v>#N/A</v>
      </c>
      <c r="C133" t="e">
        <f>INDEX(resultados!$A$2:$ZZ$956, 127, MATCH($B$3, resultados!$A$1:$ZZ$1, 0))</f>
        <v>#N/A</v>
      </c>
    </row>
    <row r="134" spans="1:3" x14ac:dyDescent="0.3">
      <c r="A134" t="e">
        <f>INDEX(resultados!$A$2:$ZZ$956, 128, MATCH($B$1, resultados!$A$1:$ZZ$1, 0))</f>
        <v>#N/A</v>
      </c>
      <c r="B134" t="e">
        <f>INDEX(resultados!$A$2:$ZZ$956, 128, MATCH($B$2, resultados!$A$1:$ZZ$1, 0))</f>
        <v>#N/A</v>
      </c>
      <c r="C134" t="e">
        <f>INDEX(resultados!$A$2:$ZZ$956, 128, MATCH($B$3, resultados!$A$1:$ZZ$1, 0))</f>
        <v>#N/A</v>
      </c>
    </row>
    <row r="135" spans="1:3" x14ac:dyDescent="0.3">
      <c r="A135" t="e">
        <f>INDEX(resultados!$A$2:$ZZ$956, 129, MATCH($B$1, resultados!$A$1:$ZZ$1, 0))</f>
        <v>#N/A</v>
      </c>
      <c r="B135" t="e">
        <f>INDEX(resultados!$A$2:$ZZ$956, 129, MATCH($B$2, resultados!$A$1:$ZZ$1, 0))</f>
        <v>#N/A</v>
      </c>
      <c r="C135" t="e">
        <f>INDEX(resultados!$A$2:$ZZ$956, 129, MATCH($B$3, resultados!$A$1:$ZZ$1, 0))</f>
        <v>#N/A</v>
      </c>
    </row>
    <row r="136" spans="1:3" x14ac:dyDescent="0.3">
      <c r="A136" t="e">
        <f>INDEX(resultados!$A$2:$ZZ$956, 130, MATCH($B$1, resultados!$A$1:$ZZ$1, 0))</f>
        <v>#N/A</v>
      </c>
      <c r="B136" t="e">
        <f>INDEX(resultados!$A$2:$ZZ$956, 130, MATCH($B$2, resultados!$A$1:$ZZ$1, 0))</f>
        <v>#N/A</v>
      </c>
      <c r="C136" t="e">
        <f>INDEX(resultados!$A$2:$ZZ$956, 130, MATCH($B$3, resultados!$A$1:$ZZ$1, 0))</f>
        <v>#N/A</v>
      </c>
    </row>
    <row r="137" spans="1:3" x14ac:dyDescent="0.3">
      <c r="A137" t="e">
        <f>INDEX(resultados!$A$2:$ZZ$956, 131, MATCH($B$1, resultados!$A$1:$ZZ$1, 0))</f>
        <v>#N/A</v>
      </c>
      <c r="B137" t="e">
        <f>INDEX(resultados!$A$2:$ZZ$956, 131, MATCH($B$2, resultados!$A$1:$ZZ$1, 0))</f>
        <v>#N/A</v>
      </c>
      <c r="C137" t="e">
        <f>INDEX(resultados!$A$2:$ZZ$956, 131, MATCH($B$3, resultados!$A$1:$ZZ$1, 0))</f>
        <v>#N/A</v>
      </c>
    </row>
    <row r="138" spans="1:3" x14ac:dyDescent="0.3">
      <c r="A138" t="e">
        <f>INDEX(resultados!$A$2:$ZZ$956, 132, MATCH($B$1, resultados!$A$1:$ZZ$1, 0))</f>
        <v>#N/A</v>
      </c>
      <c r="B138" t="e">
        <f>INDEX(resultados!$A$2:$ZZ$956, 132, MATCH($B$2, resultados!$A$1:$ZZ$1, 0))</f>
        <v>#N/A</v>
      </c>
      <c r="C138" t="e">
        <f>INDEX(resultados!$A$2:$ZZ$956, 132, MATCH($B$3, resultados!$A$1:$ZZ$1, 0))</f>
        <v>#N/A</v>
      </c>
    </row>
    <row r="139" spans="1:3" x14ac:dyDescent="0.3">
      <c r="A139" t="e">
        <f>INDEX(resultados!$A$2:$ZZ$956, 133, MATCH($B$1, resultados!$A$1:$ZZ$1, 0))</f>
        <v>#N/A</v>
      </c>
      <c r="B139" t="e">
        <f>INDEX(resultados!$A$2:$ZZ$956, 133, MATCH($B$2, resultados!$A$1:$ZZ$1, 0))</f>
        <v>#N/A</v>
      </c>
      <c r="C139" t="e">
        <f>INDEX(resultados!$A$2:$ZZ$956, 133, MATCH($B$3, resultados!$A$1:$ZZ$1, 0))</f>
        <v>#N/A</v>
      </c>
    </row>
    <row r="140" spans="1:3" x14ac:dyDescent="0.3">
      <c r="A140" t="e">
        <f>INDEX(resultados!$A$2:$ZZ$956, 134, MATCH($B$1, resultados!$A$1:$ZZ$1, 0))</f>
        <v>#N/A</v>
      </c>
      <c r="B140" t="e">
        <f>INDEX(resultados!$A$2:$ZZ$956, 134, MATCH($B$2, resultados!$A$1:$ZZ$1, 0))</f>
        <v>#N/A</v>
      </c>
      <c r="C140" t="e">
        <f>INDEX(resultados!$A$2:$ZZ$956, 134, MATCH($B$3, resultados!$A$1:$ZZ$1, 0))</f>
        <v>#N/A</v>
      </c>
    </row>
    <row r="141" spans="1:3" x14ac:dyDescent="0.3">
      <c r="A141" t="e">
        <f>INDEX(resultados!$A$2:$ZZ$956, 135, MATCH($B$1, resultados!$A$1:$ZZ$1, 0))</f>
        <v>#N/A</v>
      </c>
      <c r="B141" t="e">
        <f>INDEX(resultados!$A$2:$ZZ$956, 135, MATCH($B$2, resultados!$A$1:$ZZ$1, 0))</f>
        <v>#N/A</v>
      </c>
      <c r="C141" t="e">
        <f>INDEX(resultados!$A$2:$ZZ$956, 135, MATCH($B$3, resultados!$A$1:$ZZ$1, 0))</f>
        <v>#N/A</v>
      </c>
    </row>
    <row r="142" spans="1:3" x14ac:dyDescent="0.3">
      <c r="A142" t="e">
        <f>INDEX(resultados!$A$2:$ZZ$956, 136, MATCH($B$1, resultados!$A$1:$ZZ$1, 0))</f>
        <v>#N/A</v>
      </c>
      <c r="B142" t="e">
        <f>INDEX(resultados!$A$2:$ZZ$956, 136, MATCH($B$2, resultados!$A$1:$ZZ$1, 0))</f>
        <v>#N/A</v>
      </c>
      <c r="C142" t="e">
        <f>INDEX(resultados!$A$2:$ZZ$956, 136, MATCH($B$3, resultados!$A$1:$ZZ$1, 0))</f>
        <v>#N/A</v>
      </c>
    </row>
    <row r="143" spans="1:3" x14ac:dyDescent="0.3">
      <c r="A143" t="e">
        <f>INDEX(resultados!$A$2:$ZZ$956, 137, MATCH($B$1, resultados!$A$1:$ZZ$1, 0))</f>
        <v>#N/A</v>
      </c>
      <c r="B143" t="e">
        <f>INDEX(resultados!$A$2:$ZZ$956, 137, MATCH($B$2, resultados!$A$1:$ZZ$1, 0))</f>
        <v>#N/A</v>
      </c>
      <c r="C143" t="e">
        <f>INDEX(resultados!$A$2:$ZZ$956, 137, MATCH($B$3, resultados!$A$1:$ZZ$1, 0))</f>
        <v>#N/A</v>
      </c>
    </row>
    <row r="144" spans="1:3" x14ac:dyDescent="0.3">
      <c r="A144" t="e">
        <f>INDEX(resultados!$A$2:$ZZ$956, 138, MATCH($B$1, resultados!$A$1:$ZZ$1, 0))</f>
        <v>#N/A</v>
      </c>
      <c r="B144" t="e">
        <f>INDEX(resultados!$A$2:$ZZ$956, 138, MATCH($B$2, resultados!$A$1:$ZZ$1, 0))</f>
        <v>#N/A</v>
      </c>
      <c r="C144" t="e">
        <f>INDEX(resultados!$A$2:$ZZ$956, 138, MATCH($B$3, resultados!$A$1:$ZZ$1, 0))</f>
        <v>#N/A</v>
      </c>
    </row>
    <row r="145" spans="1:3" x14ac:dyDescent="0.3">
      <c r="A145" t="e">
        <f>INDEX(resultados!$A$2:$ZZ$956, 139, MATCH($B$1, resultados!$A$1:$ZZ$1, 0))</f>
        <v>#N/A</v>
      </c>
      <c r="B145" t="e">
        <f>INDEX(resultados!$A$2:$ZZ$956, 139, MATCH($B$2, resultados!$A$1:$ZZ$1, 0))</f>
        <v>#N/A</v>
      </c>
      <c r="C145" t="e">
        <f>INDEX(resultados!$A$2:$ZZ$956, 139, MATCH($B$3, resultados!$A$1:$ZZ$1, 0))</f>
        <v>#N/A</v>
      </c>
    </row>
    <row r="146" spans="1:3" x14ac:dyDescent="0.3">
      <c r="A146" t="e">
        <f>INDEX(resultados!$A$2:$ZZ$956, 140, MATCH($B$1, resultados!$A$1:$ZZ$1, 0))</f>
        <v>#N/A</v>
      </c>
      <c r="B146" t="e">
        <f>INDEX(resultados!$A$2:$ZZ$956, 140, MATCH($B$2, resultados!$A$1:$ZZ$1, 0))</f>
        <v>#N/A</v>
      </c>
      <c r="C146" t="e">
        <f>INDEX(resultados!$A$2:$ZZ$956, 140, MATCH($B$3, resultados!$A$1:$ZZ$1, 0))</f>
        <v>#N/A</v>
      </c>
    </row>
    <row r="147" spans="1:3" x14ac:dyDescent="0.3">
      <c r="A147" t="e">
        <f>INDEX(resultados!$A$2:$ZZ$956, 141, MATCH($B$1, resultados!$A$1:$ZZ$1, 0))</f>
        <v>#N/A</v>
      </c>
      <c r="B147" t="e">
        <f>INDEX(resultados!$A$2:$ZZ$956, 141, MATCH($B$2, resultados!$A$1:$ZZ$1, 0))</f>
        <v>#N/A</v>
      </c>
      <c r="C147" t="e">
        <f>INDEX(resultados!$A$2:$ZZ$956, 141, MATCH($B$3, resultados!$A$1:$ZZ$1, 0))</f>
        <v>#N/A</v>
      </c>
    </row>
    <row r="148" spans="1:3" x14ac:dyDescent="0.3">
      <c r="A148" t="e">
        <f>INDEX(resultados!$A$2:$ZZ$956, 142, MATCH($B$1, resultados!$A$1:$ZZ$1, 0))</f>
        <v>#N/A</v>
      </c>
      <c r="B148" t="e">
        <f>INDEX(resultados!$A$2:$ZZ$956, 142, MATCH($B$2, resultados!$A$1:$ZZ$1, 0))</f>
        <v>#N/A</v>
      </c>
      <c r="C148" t="e">
        <f>INDEX(resultados!$A$2:$ZZ$956, 142, MATCH($B$3, resultados!$A$1:$ZZ$1, 0))</f>
        <v>#N/A</v>
      </c>
    </row>
    <row r="149" spans="1:3" x14ac:dyDescent="0.3">
      <c r="A149" t="e">
        <f>INDEX(resultados!$A$2:$ZZ$956, 143, MATCH($B$1, resultados!$A$1:$ZZ$1, 0))</f>
        <v>#N/A</v>
      </c>
      <c r="B149" t="e">
        <f>INDEX(resultados!$A$2:$ZZ$956, 143, MATCH($B$2, resultados!$A$1:$ZZ$1, 0))</f>
        <v>#N/A</v>
      </c>
      <c r="C149" t="e">
        <f>INDEX(resultados!$A$2:$ZZ$956, 143, MATCH($B$3, resultados!$A$1:$ZZ$1, 0))</f>
        <v>#N/A</v>
      </c>
    </row>
    <row r="150" spans="1:3" x14ac:dyDescent="0.3">
      <c r="A150" t="e">
        <f>INDEX(resultados!$A$2:$ZZ$956, 144, MATCH($B$1, resultados!$A$1:$ZZ$1, 0))</f>
        <v>#N/A</v>
      </c>
      <c r="B150" t="e">
        <f>INDEX(resultados!$A$2:$ZZ$956, 144, MATCH($B$2, resultados!$A$1:$ZZ$1, 0))</f>
        <v>#N/A</v>
      </c>
      <c r="C150" t="e">
        <f>INDEX(resultados!$A$2:$ZZ$956, 144, MATCH($B$3, resultados!$A$1:$ZZ$1, 0))</f>
        <v>#N/A</v>
      </c>
    </row>
    <row r="151" spans="1:3" x14ac:dyDescent="0.3">
      <c r="A151" t="e">
        <f>INDEX(resultados!$A$2:$ZZ$956, 145, MATCH($B$1, resultados!$A$1:$ZZ$1, 0))</f>
        <v>#N/A</v>
      </c>
      <c r="B151" t="e">
        <f>INDEX(resultados!$A$2:$ZZ$956, 145, MATCH($B$2, resultados!$A$1:$ZZ$1, 0))</f>
        <v>#N/A</v>
      </c>
      <c r="C151" t="e">
        <f>INDEX(resultados!$A$2:$ZZ$956, 145, MATCH($B$3, resultados!$A$1:$ZZ$1, 0))</f>
        <v>#N/A</v>
      </c>
    </row>
    <row r="152" spans="1:3" x14ac:dyDescent="0.3">
      <c r="A152" t="e">
        <f>INDEX(resultados!$A$2:$ZZ$956, 146, MATCH($B$1, resultados!$A$1:$ZZ$1, 0))</f>
        <v>#N/A</v>
      </c>
      <c r="B152" t="e">
        <f>INDEX(resultados!$A$2:$ZZ$956, 146, MATCH($B$2, resultados!$A$1:$ZZ$1, 0))</f>
        <v>#N/A</v>
      </c>
      <c r="C152" t="e">
        <f>INDEX(resultados!$A$2:$ZZ$956, 146, MATCH($B$3, resultados!$A$1:$ZZ$1, 0))</f>
        <v>#N/A</v>
      </c>
    </row>
    <row r="153" spans="1:3" x14ac:dyDescent="0.3">
      <c r="A153" t="e">
        <f>INDEX(resultados!$A$2:$ZZ$956, 147, MATCH($B$1, resultados!$A$1:$ZZ$1, 0))</f>
        <v>#N/A</v>
      </c>
      <c r="B153" t="e">
        <f>INDEX(resultados!$A$2:$ZZ$956, 147, MATCH($B$2, resultados!$A$1:$ZZ$1, 0))</f>
        <v>#N/A</v>
      </c>
      <c r="C153" t="e">
        <f>INDEX(resultados!$A$2:$ZZ$956, 147, MATCH($B$3, resultados!$A$1:$ZZ$1, 0))</f>
        <v>#N/A</v>
      </c>
    </row>
    <row r="154" spans="1:3" x14ac:dyDescent="0.3">
      <c r="A154" t="e">
        <f>INDEX(resultados!$A$2:$ZZ$956, 148, MATCH($B$1, resultados!$A$1:$ZZ$1, 0))</f>
        <v>#N/A</v>
      </c>
      <c r="B154" t="e">
        <f>INDEX(resultados!$A$2:$ZZ$956, 148, MATCH($B$2, resultados!$A$1:$ZZ$1, 0))</f>
        <v>#N/A</v>
      </c>
      <c r="C154" t="e">
        <f>INDEX(resultados!$A$2:$ZZ$956, 148, MATCH($B$3, resultados!$A$1:$ZZ$1, 0))</f>
        <v>#N/A</v>
      </c>
    </row>
    <row r="155" spans="1:3" x14ac:dyDescent="0.3">
      <c r="A155" t="e">
        <f>INDEX(resultados!$A$2:$ZZ$956, 149, MATCH($B$1, resultados!$A$1:$ZZ$1, 0))</f>
        <v>#N/A</v>
      </c>
      <c r="B155" t="e">
        <f>INDEX(resultados!$A$2:$ZZ$956, 149, MATCH($B$2, resultados!$A$1:$ZZ$1, 0))</f>
        <v>#N/A</v>
      </c>
      <c r="C155" t="e">
        <f>INDEX(resultados!$A$2:$ZZ$956, 149, MATCH($B$3, resultados!$A$1:$ZZ$1, 0))</f>
        <v>#N/A</v>
      </c>
    </row>
    <row r="156" spans="1:3" x14ac:dyDescent="0.3">
      <c r="A156" t="e">
        <f>INDEX(resultados!$A$2:$ZZ$956, 150, MATCH($B$1, resultados!$A$1:$ZZ$1, 0))</f>
        <v>#N/A</v>
      </c>
      <c r="B156" t="e">
        <f>INDEX(resultados!$A$2:$ZZ$956, 150, MATCH($B$2, resultados!$A$1:$ZZ$1, 0))</f>
        <v>#N/A</v>
      </c>
      <c r="C156" t="e">
        <f>INDEX(resultados!$A$2:$ZZ$956, 150, MATCH($B$3, resultados!$A$1:$ZZ$1, 0))</f>
        <v>#N/A</v>
      </c>
    </row>
    <row r="157" spans="1:3" x14ac:dyDescent="0.3">
      <c r="A157" t="e">
        <f>INDEX(resultados!$A$2:$ZZ$956, 151, MATCH($B$1, resultados!$A$1:$ZZ$1, 0))</f>
        <v>#N/A</v>
      </c>
      <c r="B157" t="e">
        <f>INDEX(resultados!$A$2:$ZZ$956, 151, MATCH($B$2, resultados!$A$1:$ZZ$1, 0))</f>
        <v>#N/A</v>
      </c>
      <c r="C157" t="e">
        <f>INDEX(resultados!$A$2:$ZZ$956, 151, MATCH($B$3, resultados!$A$1:$ZZ$1, 0))</f>
        <v>#N/A</v>
      </c>
    </row>
    <row r="158" spans="1:3" x14ac:dyDescent="0.3">
      <c r="A158" t="e">
        <f>INDEX(resultados!$A$2:$ZZ$956, 152, MATCH($B$1, resultados!$A$1:$ZZ$1, 0))</f>
        <v>#N/A</v>
      </c>
      <c r="B158" t="e">
        <f>INDEX(resultados!$A$2:$ZZ$956, 152, MATCH($B$2, resultados!$A$1:$ZZ$1, 0))</f>
        <v>#N/A</v>
      </c>
      <c r="C158" t="e">
        <f>INDEX(resultados!$A$2:$ZZ$956, 152, MATCH($B$3, resultados!$A$1:$ZZ$1, 0))</f>
        <v>#N/A</v>
      </c>
    </row>
    <row r="159" spans="1:3" x14ac:dyDescent="0.3">
      <c r="A159" t="e">
        <f>INDEX(resultados!$A$2:$ZZ$956, 153, MATCH($B$1, resultados!$A$1:$ZZ$1, 0))</f>
        <v>#N/A</v>
      </c>
      <c r="B159" t="e">
        <f>INDEX(resultados!$A$2:$ZZ$956, 153, MATCH($B$2, resultados!$A$1:$ZZ$1, 0))</f>
        <v>#N/A</v>
      </c>
      <c r="C159" t="e">
        <f>INDEX(resultados!$A$2:$ZZ$956, 153, MATCH($B$3, resultados!$A$1:$ZZ$1, 0))</f>
        <v>#N/A</v>
      </c>
    </row>
    <row r="160" spans="1:3" x14ac:dyDescent="0.3">
      <c r="A160" t="e">
        <f>INDEX(resultados!$A$2:$ZZ$956, 154, MATCH($B$1, resultados!$A$1:$ZZ$1, 0))</f>
        <v>#N/A</v>
      </c>
      <c r="B160" t="e">
        <f>INDEX(resultados!$A$2:$ZZ$956, 154, MATCH($B$2, resultados!$A$1:$ZZ$1, 0))</f>
        <v>#N/A</v>
      </c>
      <c r="C160" t="e">
        <f>INDEX(resultados!$A$2:$ZZ$956, 154, MATCH($B$3, resultados!$A$1:$ZZ$1, 0))</f>
        <v>#N/A</v>
      </c>
    </row>
    <row r="161" spans="1:3" x14ac:dyDescent="0.3">
      <c r="A161" t="e">
        <f>INDEX(resultados!$A$2:$ZZ$956, 155, MATCH($B$1, resultados!$A$1:$ZZ$1, 0))</f>
        <v>#N/A</v>
      </c>
      <c r="B161" t="e">
        <f>INDEX(resultados!$A$2:$ZZ$956, 155, MATCH($B$2, resultados!$A$1:$ZZ$1, 0))</f>
        <v>#N/A</v>
      </c>
      <c r="C161" t="e">
        <f>INDEX(resultados!$A$2:$ZZ$956, 155, MATCH($B$3, resultados!$A$1:$ZZ$1, 0))</f>
        <v>#N/A</v>
      </c>
    </row>
    <row r="162" spans="1:3" x14ac:dyDescent="0.3">
      <c r="A162" t="e">
        <f>INDEX(resultados!$A$2:$ZZ$956, 156, MATCH($B$1, resultados!$A$1:$ZZ$1, 0))</f>
        <v>#N/A</v>
      </c>
      <c r="B162" t="e">
        <f>INDEX(resultados!$A$2:$ZZ$956, 156, MATCH($B$2, resultados!$A$1:$ZZ$1, 0))</f>
        <v>#N/A</v>
      </c>
      <c r="C162" t="e">
        <f>INDEX(resultados!$A$2:$ZZ$956, 156, MATCH($B$3, resultados!$A$1:$ZZ$1, 0))</f>
        <v>#N/A</v>
      </c>
    </row>
    <row r="163" spans="1:3" x14ac:dyDescent="0.3">
      <c r="A163" t="e">
        <f>INDEX(resultados!$A$2:$ZZ$956, 157, MATCH($B$1, resultados!$A$1:$ZZ$1, 0))</f>
        <v>#N/A</v>
      </c>
      <c r="B163" t="e">
        <f>INDEX(resultados!$A$2:$ZZ$956, 157, MATCH($B$2, resultados!$A$1:$ZZ$1, 0))</f>
        <v>#N/A</v>
      </c>
      <c r="C163" t="e">
        <f>INDEX(resultados!$A$2:$ZZ$956, 157, MATCH($B$3, resultados!$A$1:$ZZ$1, 0))</f>
        <v>#N/A</v>
      </c>
    </row>
    <row r="164" spans="1:3" x14ac:dyDescent="0.3">
      <c r="A164" t="e">
        <f>INDEX(resultados!$A$2:$ZZ$956, 158, MATCH($B$1, resultados!$A$1:$ZZ$1, 0))</f>
        <v>#N/A</v>
      </c>
      <c r="B164" t="e">
        <f>INDEX(resultados!$A$2:$ZZ$956, 158, MATCH($B$2, resultados!$A$1:$ZZ$1, 0))</f>
        <v>#N/A</v>
      </c>
      <c r="C164" t="e">
        <f>INDEX(resultados!$A$2:$ZZ$956, 158, MATCH($B$3, resultados!$A$1:$ZZ$1, 0))</f>
        <v>#N/A</v>
      </c>
    </row>
    <row r="165" spans="1:3" x14ac:dyDescent="0.3">
      <c r="A165" t="e">
        <f>INDEX(resultados!$A$2:$ZZ$956, 159, MATCH($B$1, resultados!$A$1:$ZZ$1, 0))</f>
        <v>#N/A</v>
      </c>
      <c r="B165" t="e">
        <f>INDEX(resultados!$A$2:$ZZ$956, 159, MATCH($B$2, resultados!$A$1:$ZZ$1, 0))</f>
        <v>#N/A</v>
      </c>
      <c r="C165" t="e">
        <f>INDEX(resultados!$A$2:$ZZ$956, 159, MATCH($B$3, resultados!$A$1:$ZZ$1, 0))</f>
        <v>#N/A</v>
      </c>
    </row>
    <row r="166" spans="1:3" x14ac:dyDescent="0.3">
      <c r="A166" t="e">
        <f>INDEX(resultados!$A$2:$ZZ$956, 160, MATCH($B$1, resultados!$A$1:$ZZ$1, 0))</f>
        <v>#N/A</v>
      </c>
      <c r="B166" t="e">
        <f>INDEX(resultados!$A$2:$ZZ$956, 160, MATCH($B$2, resultados!$A$1:$ZZ$1, 0))</f>
        <v>#N/A</v>
      </c>
      <c r="C166" t="e">
        <f>INDEX(resultados!$A$2:$ZZ$956, 160, MATCH($B$3, resultados!$A$1:$ZZ$1, 0))</f>
        <v>#N/A</v>
      </c>
    </row>
    <row r="167" spans="1:3" x14ac:dyDescent="0.3">
      <c r="A167" t="e">
        <f>INDEX(resultados!$A$2:$ZZ$956, 161, MATCH($B$1, resultados!$A$1:$ZZ$1, 0))</f>
        <v>#N/A</v>
      </c>
      <c r="B167" t="e">
        <f>INDEX(resultados!$A$2:$ZZ$956, 161, MATCH($B$2, resultados!$A$1:$ZZ$1, 0))</f>
        <v>#N/A</v>
      </c>
      <c r="C167" t="e">
        <f>INDEX(resultados!$A$2:$ZZ$956, 161, MATCH($B$3, resultados!$A$1:$ZZ$1, 0))</f>
        <v>#N/A</v>
      </c>
    </row>
    <row r="168" spans="1:3" x14ac:dyDescent="0.3">
      <c r="A168" t="e">
        <f>INDEX(resultados!$A$2:$ZZ$956, 162, MATCH($B$1, resultados!$A$1:$ZZ$1, 0))</f>
        <v>#N/A</v>
      </c>
      <c r="B168" t="e">
        <f>INDEX(resultados!$A$2:$ZZ$956, 162, MATCH($B$2, resultados!$A$1:$ZZ$1, 0))</f>
        <v>#N/A</v>
      </c>
      <c r="C168" t="e">
        <f>INDEX(resultados!$A$2:$ZZ$956, 162, MATCH($B$3, resultados!$A$1:$ZZ$1, 0))</f>
        <v>#N/A</v>
      </c>
    </row>
    <row r="169" spans="1:3" x14ac:dyDescent="0.3">
      <c r="A169" t="e">
        <f>INDEX(resultados!$A$2:$ZZ$956, 163, MATCH($B$1, resultados!$A$1:$ZZ$1, 0))</f>
        <v>#N/A</v>
      </c>
      <c r="B169" t="e">
        <f>INDEX(resultados!$A$2:$ZZ$956, 163, MATCH($B$2, resultados!$A$1:$ZZ$1, 0))</f>
        <v>#N/A</v>
      </c>
      <c r="C169" t="e">
        <f>INDEX(resultados!$A$2:$ZZ$956, 163, MATCH($B$3, resultados!$A$1:$ZZ$1, 0))</f>
        <v>#N/A</v>
      </c>
    </row>
    <row r="170" spans="1:3" x14ac:dyDescent="0.3">
      <c r="A170" t="e">
        <f>INDEX(resultados!$A$2:$ZZ$956, 164, MATCH($B$1, resultados!$A$1:$ZZ$1, 0))</f>
        <v>#N/A</v>
      </c>
      <c r="B170" t="e">
        <f>INDEX(resultados!$A$2:$ZZ$956, 164, MATCH($B$2, resultados!$A$1:$ZZ$1, 0))</f>
        <v>#N/A</v>
      </c>
      <c r="C170" t="e">
        <f>INDEX(resultados!$A$2:$ZZ$956, 164, MATCH($B$3, resultados!$A$1:$ZZ$1, 0))</f>
        <v>#N/A</v>
      </c>
    </row>
    <row r="171" spans="1:3" x14ac:dyDescent="0.3">
      <c r="A171" t="e">
        <f>INDEX(resultados!$A$2:$ZZ$956, 165, MATCH($B$1, resultados!$A$1:$ZZ$1, 0))</f>
        <v>#N/A</v>
      </c>
      <c r="B171" t="e">
        <f>INDEX(resultados!$A$2:$ZZ$956, 165, MATCH($B$2, resultados!$A$1:$ZZ$1, 0))</f>
        <v>#N/A</v>
      </c>
      <c r="C171" t="e">
        <f>INDEX(resultados!$A$2:$ZZ$956, 165, MATCH($B$3, resultados!$A$1:$ZZ$1, 0))</f>
        <v>#N/A</v>
      </c>
    </row>
    <row r="172" spans="1:3" x14ac:dyDescent="0.3">
      <c r="A172" t="e">
        <f>INDEX(resultados!$A$2:$ZZ$956, 166, MATCH($B$1, resultados!$A$1:$ZZ$1, 0))</f>
        <v>#N/A</v>
      </c>
      <c r="B172" t="e">
        <f>INDEX(resultados!$A$2:$ZZ$956, 166, MATCH($B$2, resultados!$A$1:$ZZ$1, 0))</f>
        <v>#N/A</v>
      </c>
      <c r="C172" t="e">
        <f>INDEX(resultados!$A$2:$ZZ$956, 166, MATCH($B$3, resultados!$A$1:$ZZ$1, 0))</f>
        <v>#N/A</v>
      </c>
    </row>
    <row r="173" spans="1:3" x14ac:dyDescent="0.3">
      <c r="A173" t="e">
        <f>INDEX(resultados!$A$2:$ZZ$956, 167, MATCH($B$1, resultados!$A$1:$ZZ$1, 0))</f>
        <v>#N/A</v>
      </c>
      <c r="B173" t="e">
        <f>INDEX(resultados!$A$2:$ZZ$956, 167, MATCH($B$2, resultados!$A$1:$ZZ$1, 0))</f>
        <v>#N/A</v>
      </c>
      <c r="C173" t="e">
        <f>INDEX(resultados!$A$2:$ZZ$956, 167, MATCH($B$3, resultados!$A$1:$ZZ$1, 0))</f>
        <v>#N/A</v>
      </c>
    </row>
    <row r="174" spans="1:3" x14ac:dyDescent="0.3">
      <c r="A174" t="e">
        <f>INDEX(resultados!$A$2:$ZZ$956, 168, MATCH($B$1, resultados!$A$1:$ZZ$1, 0))</f>
        <v>#N/A</v>
      </c>
      <c r="B174" t="e">
        <f>INDEX(resultados!$A$2:$ZZ$956, 168, MATCH($B$2, resultados!$A$1:$ZZ$1, 0))</f>
        <v>#N/A</v>
      </c>
      <c r="C174" t="e">
        <f>INDEX(resultados!$A$2:$ZZ$956, 168, MATCH($B$3, resultados!$A$1:$ZZ$1, 0))</f>
        <v>#N/A</v>
      </c>
    </row>
    <row r="175" spans="1:3" x14ac:dyDescent="0.3">
      <c r="A175" t="e">
        <f>INDEX(resultados!$A$2:$ZZ$956, 169, MATCH($B$1, resultados!$A$1:$ZZ$1, 0))</f>
        <v>#N/A</v>
      </c>
      <c r="B175" t="e">
        <f>INDEX(resultados!$A$2:$ZZ$956, 169, MATCH($B$2, resultados!$A$1:$ZZ$1, 0))</f>
        <v>#N/A</v>
      </c>
      <c r="C175" t="e">
        <f>INDEX(resultados!$A$2:$ZZ$956, 169, MATCH($B$3, resultados!$A$1:$ZZ$1, 0))</f>
        <v>#N/A</v>
      </c>
    </row>
    <row r="176" spans="1:3" x14ac:dyDescent="0.3">
      <c r="A176" t="e">
        <f>INDEX(resultados!$A$2:$ZZ$956, 170, MATCH($B$1, resultados!$A$1:$ZZ$1, 0))</f>
        <v>#N/A</v>
      </c>
      <c r="B176" t="e">
        <f>INDEX(resultados!$A$2:$ZZ$956, 170, MATCH($B$2, resultados!$A$1:$ZZ$1, 0))</f>
        <v>#N/A</v>
      </c>
      <c r="C176" t="e">
        <f>INDEX(resultados!$A$2:$ZZ$956, 170, MATCH($B$3, resultados!$A$1:$ZZ$1, 0))</f>
        <v>#N/A</v>
      </c>
    </row>
    <row r="177" spans="1:3" x14ac:dyDescent="0.3">
      <c r="A177" t="e">
        <f>INDEX(resultados!$A$2:$ZZ$956, 171, MATCH($B$1, resultados!$A$1:$ZZ$1, 0))</f>
        <v>#N/A</v>
      </c>
      <c r="B177" t="e">
        <f>INDEX(resultados!$A$2:$ZZ$956, 171, MATCH($B$2, resultados!$A$1:$ZZ$1, 0))</f>
        <v>#N/A</v>
      </c>
      <c r="C177" t="e">
        <f>INDEX(resultados!$A$2:$ZZ$956, 171, MATCH($B$3, resultados!$A$1:$ZZ$1, 0))</f>
        <v>#N/A</v>
      </c>
    </row>
    <row r="178" spans="1:3" x14ac:dyDescent="0.3">
      <c r="A178" t="e">
        <f>INDEX(resultados!$A$2:$ZZ$956, 172, MATCH($B$1, resultados!$A$1:$ZZ$1, 0))</f>
        <v>#N/A</v>
      </c>
      <c r="B178" t="e">
        <f>INDEX(resultados!$A$2:$ZZ$956, 172, MATCH($B$2, resultados!$A$1:$ZZ$1, 0))</f>
        <v>#N/A</v>
      </c>
      <c r="C178" t="e">
        <f>INDEX(resultados!$A$2:$ZZ$956, 172, MATCH($B$3, resultados!$A$1:$ZZ$1, 0))</f>
        <v>#N/A</v>
      </c>
    </row>
    <row r="179" spans="1:3" x14ac:dyDescent="0.3">
      <c r="A179" t="e">
        <f>INDEX(resultados!$A$2:$ZZ$956, 173, MATCH($B$1, resultados!$A$1:$ZZ$1, 0))</f>
        <v>#N/A</v>
      </c>
      <c r="B179" t="e">
        <f>INDEX(resultados!$A$2:$ZZ$956, 173, MATCH($B$2, resultados!$A$1:$ZZ$1, 0))</f>
        <v>#N/A</v>
      </c>
      <c r="C179" t="e">
        <f>INDEX(resultados!$A$2:$ZZ$956, 173, MATCH($B$3, resultados!$A$1:$ZZ$1, 0))</f>
        <v>#N/A</v>
      </c>
    </row>
    <row r="180" spans="1:3" x14ac:dyDescent="0.3">
      <c r="A180" t="e">
        <f>INDEX(resultados!$A$2:$ZZ$956, 174, MATCH($B$1, resultados!$A$1:$ZZ$1, 0))</f>
        <v>#N/A</v>
      </c>
      <c r="B180" t="e">
        <f>INDEX(resultados!$A$2:$ZZ$956, 174, MATCH($B$2, resultados!$A$1:$ZZ$1, 0))</f>
        <v>#N/A</v>
      </c>
      <c r="C180" t="e">
        <f>INDEX(resultados!$A$2:$ZZ$956, 174, MATCH($B$3, resultados!$A$1:$ZZ$1, 0))</f>
        <v>#N/A</v>
      </c>
    </row>
    <row r="181" spans="1:3" x14ac:dyDescent="0.3">
      <c r="A181" t="e">
        <f>INDEX(resultados!$A$2:$ZZ$956, 175, MATCH($B$1, resultados!$A$1:$ZZ$1, 0))</f>
        <v>#N/A</v>
      </c>
      <c r="B181" t="e">
        <f>INDEX(resultados!$A$2:$ZZ$956, 175, MATCH($B$2, resultados!$A$1:$ZZ$1, 0))</f>
        <v>#N/A</v>
      </c>
      <c r="C181" t="e">
        <f>INDEX(resultados!$A$2:$ZZ$956, 175, MATCH($B$3, resultados!$A$1:$ZZ$1, 0))</f>
        <v>#N/A</v>
      </c>
    </row>
    <row r="182" spans="1:3" x14ac:dyDescent="0.3">
      <c r="A182" t="e">
        <f>INDEX(resultados!$A$2:$ZZ$956, 176, MATCH($B$1, resultados!$A$1:$ZZ$1, 0))</f>
        <v>#N/A</v>
      </c>
      <c r="B182" t="e">
        <f>INDEX(resultados!$A$2:$ZZ$956, 176, MATCH($B$2, resultados!$A$1:$ZZ$1, 0))</f>
        <v>#N/A</v>
      </c>
      <c r="C182" t="e">
        <f>INDEX(resultados!$A$2:$ZZ$956, 176, MATCH($B$3, resultados!$A$1:$ZZ$1, 0))</f>
        <v>#N/A</v>
      </c>
    </row>
    <row r="183" spans="1:3" x14ac:dyDescent="0.3">
      <c r="A183" t="e">
        <f>INDEX(resultados!$A$2:$ZZ$956, 177, MATCH($B$1, resultados!$A$1:$ZZ$1, 0))</f>
        <v>#N/A</v>
      </c>
      <c r="B183" t="e">
        <f>INDEX(resultados!$A$2:$ZZ$956, 177, MATCH($B$2, resultados!$A$1:$ZZ$1, 0))</f>
        <v>#N/A</v>
      </c>
      <c r="C183" t="e">
        <f>INDEX(resultados!$A$2:$ZZ$956, 177, MATCH($B$3, resultados!$A$1:$ZZ$1, 0))</f>
        <v>#N/A</v>
      </c>
    </row>
    <row r="184" spans="1:3" x14ac:dyDescent="0.3">
      <c r="A184" t="e">
        <f>INDEX(resultados!$A$2:$ZZ$956, 178, MATCH($B$1, resultados!$A$1:$ZZ$1, 0))</f>
        <v>#N/A</v>
      </c>
      <c r="B184" t="e">
        <f>INDEX(resultados!$A$2:$ZZ$956, 178, MATCH($B$2, resultados!$A$1:$ZZ$1, 0))</f>
        <v>#N/A</v>
      </c>
      <c r="C184" t="e">
        <f>INDEX(resultados!$A$2:$ZZ$956, 178, MATCH($B$3, resultados!$A$1:$ZZ$1, 0))</f>
        <v>#N/A</v>
      </c>
    </row>
    <row r="185" spans="1:3" x14ac:dyDescent="0.3">
      <c r="A185" t="e">
        <f>INDEX(resultados!$A$2:$ZZ$956, 179, MATCH($B$1, resultados!$A$1:$ZZ$1, 0))</f>
        <v>#N/A</v>
      </c>
      <c r="B185" t="e">
        <f>INDEX(resultados!$A$2:$ZZ$956, 179, MATCH($B$2, resultados!$A$1:$ZZ$1, 0))</f>
        <v>#N/A</v>
      </c>
      <c r="C185" t="e">
        <f>INDEX(resultados!$A$2:$ZZ$956, 179, MATCH($B$3, resultados!$A$1:$ZZ$1, 0))</f>
        <v>#N/A</v>
      </c>
    </row>
    <row r="186" spans="1:3" x14ac:dyDescent="0.3">
      <c r="A186" t="e">
        <f>INDEX(resultados!$A$2:$ZZ$956, 180, MATCH($B$1, resultados!$A$1:$ZZ$1, 0))</f>
        <v>#N/A</v>
      </c>
      <c r="B186" t="e">
        <f>INDEX(resultados!$A$2:$ZZ$956, 180, MATCH($B$2, resultados!$A$1:$ZZ$1, 0))</f>
        <v>#N/A</v>
      </c>
      <c r="C186" t="e">
        <f>INDEX(resultados!$A$2:$ZZ$956, 180, MATCH($B$3, resultados!$A$1:$ZZ$1, 0))</f>
        <v>#N/A</v>
      </c>
    </row>
    <row r="187" spans="1:3" x14ac:dyDescent="0.3">
      <c r="A187" t="e">
        <f>INDEX(resultados!$A$2:$ZZ$956, 181, MATCH($B$1, resultados!$A$1:$ZZ$1, 0))</f>
        <v>#N/A</v>
      </c>
      <c r="B187" t="e">
        <f>INDEX(resultados!$A$2:$ZZ$956, 181, MATCH($B$2, resultados!$A$1:$ZZ$1, 0))</f>
        <v>#N/A</v>
      </c>
      <c r="C187" t="e">
        <f>INDEX(resultados!$A$2:$ZZ$956, 181, MATCH($B$3, resultados!$A$1:$ZZ$1, 0))</f>
        <v>#N/A</v>
      </c>
    </row>
    <row r="188" spans="1:3" x14ac:dyDescent="0.3">
      <c r="A188" t="e">
        <f>INDEX(resultados!$A$2:$ZZ$956, 182, MATCH($B$1, resultados!$A$1:$ZZ$1, 0))</f>
        <v>#N/A</v>
      </c>
      <c r="B188" t="e">
        <f>INDEX(resultados!$A$2:$ZZ$956, 182, MATCH($B$2, resultados!$A$1:$ZZ$1, 0))</f>
        <v>#N/A</v>
      </c>
      <c r="C188" t="e">
        <f>INDEX(resultados!$A$2:$ZZ$956, 182, MATCH($B$3, resultados!$A$1:$ZZ$1, 0))</f>
        <v>#N/A</v>
      </c>
    </row>
    <row r="189" spans="1:3" x14ac:dyDescent="0.3">
      <c r="A189" t="e">
        <f>INDEX(resultados!$A$2:$ZZ$956, 183, MATCH($B$1, resultados!$A$1:$ZZ$1, 0))</f>
        <v>#N/A</v>
      </c>
      <c r="B189" t="e">
        <f>INDEX(resultados!$A$2:$ZZ$956, 183, MATCH($B$2, resultados!$A$1:$ZZ$1, 0))</f>
        <v>#N/A</v>
      </c>
      <c r="C189" t="e">
        <f>INDEX(resultados!$A$2:$ZZ$956, 183, MATCH($B$3, resultados!$A$1:$ZZ$1, 0))</f>
        <v>#N/A</v>
      </c>
    </row>
    <row r="190" spans="1:3" x14ac:dyDescent="0.3">
      <c r="A190" t="e">
        <f>INDEX(resultados!$A$2:$ZZ$956, 184, MATCH($B$1, resultados!$A$1:$ZZ$1, 0))</f>
        <v>#N/A</v>
      </c>
      <c r="B190" t="e">
        <f>INDEX(resultados!$A$2:$ZZ$956, 184, MATCH($B$2, resultados!$A$1:$ZZ$1, 0))</f>
        <v>#N/A</v>
      </c>
      <c r="C190" t="e">
        <f>INDEX(resultados!$A$2:$ZZ$956, 184, MATCH($B$3, resultados!$A$1:$ZZ$1, 0))</f>
        <v>#N/A</v>
      </c>
    </row>
    <row r="191" spans="1:3" x14ac:dyDescent="0.3">
      <c r="A191" t="e">
        <f>INDEX(resultados!$A$2:$ZZ$956, 185, MATCH($B$1, resultados!$A$1:$ZZ$1, 0))</f>
        <v>#N/A</v>
      </c>
      <c r="B191" t="e">
        <f>INDEX(resultados!$A$2:$ZZ$956, 185, MATCH($B$2, resultados!$A$1:$ZZ$1, 0))</f>
        <v>#N/A</v>
      </c>
      <c r="C191" t="e">
        <f>INDEX(resultados!$A$2:$ZZ$956, 185, MATCH($B$3, resultados!$A$1:$ZZ$1, 0))</f>
        <v>#N/A</v>
      </c>
    </row>
    <row r="192" spans="1:3" x14ac:dyDescent="0.3">
      <c r="A192" t="e">
        <f>INDEX(resultados!$A$2:$ZZ$956, 186, MATCH($B$1, resultados!$A$1:$ZZ$1, 0))</f>
        <v>#N/A</v>
      </c>
      <c r="B192" t="e">
        <f>INDEX(resultados!$A$2:$ZZ$956, 186, MATCH($B$2, resultados!$A$1:$ZZ$1, 0))</f>
        <v>#N/A</v>
      </c>
      <c r="C192" t="e">
        <f>INDEX(resultados!$A$2:$ZZ$956, 186, MATCH($B$3, resultados!$A$1:$ZZ$1, 0))</f>
        <v>#N/A</v>
      </c>
    </row>
    <row r="193" spans="1:3" x14ac:dyDescent="0.3">
      <c r="A193" t="e">
        <f>INDEX(resultados!$A$2:$ZZ$956, 187, MATCH($B$1, resultados!$A$1:$ZZ$1, 0))</f>
        <v>#N/A</v>
      </c>
      <c r="B193" t="e">
        <f>INDEX(resultados!$A$2:$ZZ$956, 187, MATCH($B$2, resultados!$A$1:$ZZ$1, 0))</f>
        <v>#N/A</v>
      </c>
      <c r="C193" t="e">
        <f>INDEX(resultados!$A$2:$ZZ$956, 187, MATCH($B$3, resultados!$A$1:$ZZ$1, 0))</f>
        <v>#N/A</v>
      </c>
    </row>
    <row r="194" spans="1:3" x14ac:dyDescent="0.3">
      <c r="A194" t="e">
        <f>INDEX(resultados!$A$2:$ZZ$956, 188, MATCH($B$1, resultados!$A$1:$ZZ$1, 0))</f>
        <v>#N/A</v>
      </c>
      <c r="B194" t="e">
        <f>INDEX(resultados!$A$2:$ZZ$956, 188, MATCH($B$2, resultados!$A$1:$ZZ$1, 0))</f>
        <v>#N/A</v>
      </c>
      <c r="C194" t="e">
        <f>INDEX(resultados!$A$2:$ZZ$956, 188, MATCH($B$3, resultados!$A$1:$ZZ$1, 0))</f>
        <v>#N/A</v>
      </c>
    </row>
    <row r="195" spans="1:3" x14ac:dyDescent="0.3">
      <c r="A195" t="e">
        <f>INDEX(resultados!$A$2:$ZZ$956, 189, MATCH($B$1, resultados!$A$1:$ZZ$1, 0))</f>
        <v>#N/A</v>
      </c>
      <c r="B195" t="e">
        <f>INDEX(resultados!$A$2:$ZZ$956, 189, MATCH($B$2, resultados!$A$1:$ZZ$1, 0))</f>
        <v>#N/A</v>
      </c>
      <c r="C195" t="e">
        <f>INDEX(resultados!$A$2:$ZZ$956, 189, MATCH($B$3, resultados!$A$1:$ZZ$1, 0))</f>
        <v>#N/A</v>
      </c>
    </row>
    <row r="196" spans="1:3" x14ac:dyDescent="0.3">
      <c r="A196" t="e">
        <f>INDEX(resultados!$A$2:$ZZ$956, 190, MATCH($B$1, resultados!$A$1:$ZZ$1, 0))</f>
        <v>#N/A</v>
      </c>
      <c r="B196" t="e">
        <f>INDEX(resultados!$A$2:$ZZ$956, 190, MATCH($B$2, resultados!$A$1:$ZZ$1, 0))</f>
        <v>#N/A</v>
      </c>
      <c r="C196" t="e">
        <f>INDEX(resultados!$A$2:$ZZ$956, 190, MATCH($B$3, resultados!$A$1:$ZZ$1, 0))</f>
        <v>#N/A</v>
      </c>
    </row>
    <row r="197" spans="1:3" x14ac:dyDescent="0.3">
      <c r="A197" t="e">
        <f>INDEX(resultados!$A$2:$ZZ$956, 191, MATCH($B$1, resultados!$A$1:$ZZ$1, 0))</f>
        <v>#N/A</v>
      </c>
      <c r="B197" t="e">
        <f>INDEX(resultados!$A$2:$ZZ$956, 191, MATCH($B$2, resultados!$A$1:$ZZ$1, 0))</f>
        <v>#N/A</v>
      </c>
      <c r="C197" t="e">
        <f>INDEX(resultados!$A$2:$ZZ$956, 191, MATCH($B$3, resultados!$A$1:$ZZ$1, 0))</f>
        <v>#N/A</v>
      </c>
    </row>
    <row r="198" spans="1:3" x14ac:dyDescent="0.3">
      <c r="A198" t="e">
        <f>INDEX(resultados!$A$2:$ZZ$956, 192, MATCH($B$1, resultados!$A$1:$ZZ$1, 0))</f>
        <v>#N/A</v>
      </c>
      <c r="B198" t="e">
        <f>INDEX(resultados!$A$2:$ZZ$956, 192, MATCH($B$2, resultados!$A$1:$ZZ$1, 0))</f>
        <v>#N/A</v>
      </c>
      <c r="C198" t="e">
        <f>INDEX(resultados!$A$2:$ZZ$956, 192, MATCH($B$3, resultados!$A$1:$ZZ$1, 0))</f>
        <v>#N/A</v>
      </c>
    </row>
    <row r="199" spans="1:3" x14ac:dyDescent="0.3">
      <c r="A199" t="e">
        <f>INDEX(resultados!$A$2:$ZZ$956, 193, MATCH($B$1, resultados!$A$1:$ZZ$1, 0))</f>
        <v>#N/A</v>
      </c>
      <c r="B199" t="e">
        <f>INDEX(resultados!$A$2:$ZZ$956, 193, MATCH($B$2, resultados!$A$1:$ZZ$1, 0))</f>
        <v>#N/A</v>
      </c>
      <c r="C199" t="e">
        <f>INDEX(resultados!$A$2:$ZZ$956, 193, MATCH($B$3, resultados!$A$1:$ZZ$1, 0))</f>
        <v>#N/A</v>
      </c>
    </row>
    <row r="200" spans="1:3" x14ac:dyDescent="0.3">
      <c r="A200" t="e">
        <f>INDEX(resultados!$A$2:$ZZ$956, 194, MATCH($B$1, resultados!$A$1:$ZZ$1, 0))</f>
        <v>#N/A</v>
      </c>
      <c r="B200" t="e">
        <f>INDEX(resultados!$A$2:$ZZ$956, 194, MATCH($B$2, resultados!$A$1:$ZZ$1, 0))</f>
        <v>#N/A</v>
      </c>
      <c r="C200" t="e">
        <f>INDEX(resultados!$A$2:$ZZ$956, 194, MATCH($B$3, resultados!$A$1:$ZZ$1, 0))</f>
        <v>#N/A</v>
      </c>
    </row>
    <row r="201" spans="1:3" x14ac:dyDescent="0.3">
      <c r="A201" t="e">
        <f>INDEX(resultados!$A$2:$ZZ$956, 195, MATCH($B$1, resultados!$A$1:$ZZ$1, 0))</f>
        <v>#N/A</v>
      </c>
      <c r="B201" t="e">
        <f>INDEX(resultados!$A$2:$ZZ$956, 195, MATCH($B$2, resultados!$A$1:$ZZ$1, 0))</f>
        <v>#N/A</v>
      </c>
      <c r="C201" t="e">
        <f>INDEX(resultados!$A$2:$ZZ$956, 195, MATCH($B$3, resultados!$A$1:$ZZ$1, 0))</f>
        <v>#N/A</v>
      </c>
    </row>
    <row r="202" spans="1:3" x14ac:dyDescent="0.3">
      <c r="A202" t="e">
        <f>INDEX(resultados!$A$2:$ZZ$956, 196, MATCH($B$1, resultados!$A$1:$ZZ$1, 0))</f>
        <v>#N/A</v>
      </c>
      <c r="B202" t="e">
        <f>INDEX(resultados!$A$2:$ZZ$956, 196, MATCH($B$2, resultados!$A$1:$ZZ$1, 0))</f>
        <v>#N/A</v>
      </c>
      <c r="C202" t="e">
        <f>INDEX(resultados!$A$2:$ZZ$956, 196, MATCH($B$3, resultados!$A$1:$ZZ$1, 0))</f>
        <v>#N/A</v>
      </c>
    </row>
    <row r="203" spans="1:3" x14ac:dyDescent="0.3">
      <c r="A203" t="e">
        <f>INDEX(resultados!$A$2:$ZZ$956, 197, MATCH($B$1, resultados!$A$1:$ZZ$1, 0))</f>
        <v>#N/A</v>
      </c>
      <c r="B203" t="e">
        <f>INDEX(resultados!$A$2:$ZZ$956, 197, MATCH($B$2, resultados!$A$1:$ZZ$1, 0))</f>
        <v>#N/A</v>
      </c>
      <c r="C203" t="e">
        <f>INDEX(resultados!$A$2:$ZZ$956, 197, MATCH($B$3, resultados!$A$1:$ZZ$1, 0))</f>
        <v>#N/A</v>
      </c>
    </row>
    <row r="204" spans="1:3" x14ac:dyDescent="0.3">
      <c r="A204" t="e">
        <f>INDEX(resultados!$A$2:$ZZ$956, 198, MATCH($B$1, resultados!$A$1:$ZZ$1, 0))</f>
        <v>#N/A</v>
      </c>
      <c r="B204" t="e">
        <f>INDEX(resultados!$A$2:$ZZ$956, 198, MATCH($B$2, resultados!$A$1:$ZZ$1, 0))</f>
        <v>#N/A</v>
      </c>
      <c r="C204" t="e">
        <f>INDEX(resultados!$A$2:$ZZ$956, 198, MATCH($B$3, resultados!$A$1:$ZZ$1, 0))</f>
        <v>#N/A</v>
      </c>
    </row>
    <row r="205" spans="1:3" x14ac:dyDescent="0.3">
      <c r="A205" t="e">
        <f>INDEX(resultados!$A$2:$ZZ$956, 199, MATCH($B$1, resultados!$A$1:$ZZ$1, 0))</f>
        <v>#N/A</v>
      </c>
      <c r="B205" t="e">
        <f>INDEX(resultados!$A$2:$ZZ$956, 199, MATCH($B$2, resultados!$A$1:$ZZ$1, 0))</f>
        <v>#N/A</v>
      </c>
      <c r="C205" t="e">
        <f>INDEX(resultados!$A$2:$ZZ$956, 199, MATCH($B$3, resultados!$A$1:$ZZ$1, 0))</f>
        <v>#N/A</v>
      </c>
    </row>
    <row r="206" spans="1:3" x14ac:dyDescent="0.3">
      <c r="A206" t="e">
        <f>INDEX(resultados!$A$2:$ZZ$956, 200, MATCH($B$1, resultados!$A$1:$ZZ$1, 0))</f>
        <v>#N/A</v>
      </c>
      <c r="B206" t="e">
        <f>INDEX(resultados!$A$2:$ZZ$956, 200, MATCH($B$2, resultados!$A$1:$ZZ$1, 0))</f>
        <v>#N/A</v>
      </c>
      <c r="C206" t="e">
        <f>INDEX(resultados!$A$2:$ZZ$956, 200, MATCH($B$3, resultados!$A$1:$ZZ$1, 0))</f>
        <v>#N/A</v>
      </c>
    </row>
    <row r="207" spans="1:3" x14ac:dyDescent="0.3">
      <c r="A207" t="e">
        <f>INDEX(resultados!$A$2:$ZZ$956, 201, MATCH($B$1, resultados!$A$1:$ZZ$1, 0))</f>
        <v>#N/A</v>
      </c>
      <c r="B207" t="e">
        <f>INDEX(resultados!$A$2:$ZZ$956, 201, MATCH($B$2, resultados!$A$1:$ZZ$1, 0))</f>
        <v>#N/A</v>
      </c>
      <c r="C207" t="e">
        <f>INDEX(resultados!$A$2:$ZZ$956, 201, MATCH($B$3, resultados!$A$1:$ZZ$1, 0))</f>
        <v>#N/A</v>
      </c>
    </row>
    <row r="208" spans="1:3" x14ac:dyDescent="0.3">
      <c r="A208" t="e">
        <f>INDEX(resultados!$A$2:$ZZ$956, 202, MATCH($B$1, resultados!$A$1:$ZZ$1, 0))</f>
        <v>#N/A</v>
      </c>
      <c r="B208" t="e">
        <f>INDEX(resultados!$A$2:$ZZ$956, 202, MATCH($B$2, resultados!$A$1:$ZZ$1, 0))</f>
        <v>#N/A</v>
      </c>
      <c r="C208" t="e">
        <f>INDEX(resultados!$A$2:$ZZ$956, 202, MATCH($B$3, resultados!$A$1:$ZZ$1, 0))</f>
        <v>#N/A</v>
      </c>
    </row>
    <row r="209" spans="1:3" x14ac:dyDescent="0.3">
      <c r="A209" t="e">
        <f>INDEX(resultados!$A$2:$ZZ$956, 203, MATCH($B$1, resultados!$A$1:$ZZ$1, 0))</f>
        <v>#N/A</v>
      </c>
      <c r="B209" t="e">
        <f>INDEX(resultados!$A$2:$ZZ$956, 203, MATCH($B$2, resultados!$A$1:$ZZ$1, 0))</f>
        <v>#N/A</v>
      </c>
      <c r="C209" t="e">
        <f>INDEX(resultados!$A$2:$ZZ$956, 203, MATCH($B$3, resultados!$A$1:$ZZ$1, 0))</f>
        <v>#N/A</v>
      </c>
    </row>
    <row r="210" spans="1:3" x14ac:dyDescent="0.3">
      <c r="A210" t="e">
        <f>INDEX(resultados!$A$2:$ZZ$956, 204, MATCH($B$1, resultados!$A$1:$ZZ$1, 0))</f>
        <v>#N/A</v>
      </c>
      <c r="B210" t="e">
        <f>INDEX(resultados!$A$2:$ZZ$956, 204, MATCH($B$2, resultados!$A$1:$ZZ$1, 0))</f>
        <v>#N/A</v>
      </c>
      <c r="C210" t="e">
        <f>INDEX(resultados!$A$2:$ZZ$956, 204, MATCH($B$3, resultados!$A$1:$ZZ$1, 0))</f>
        <v>#N/A</v>
      </c>
    </row>
    <row r="211" spans="1:3" x14ac:dyDescent="0.3">
      <c r="A211" t="e">
        <f>INDEX(resultados!$A$2:$ZZ$956, 205, MATCH($B$1, resultados!$A$1:$ZZ$1, 0))</f>
        <v>#N/A</v>
      </c>
      <c r="B211" t="e">
        <f>INDEX(resultados!$A$2:$ZZ$956, 205, MATCH($B$2, resultados!$A$1:$ZZ$1, 0))</f>
        <v>#N/A</v>
      </c>
      <c r="C211" t="e">
        <f>INDEX(resultados!$A$2:$ZZ$956, 205, MATCH($B$3, resultados!$A$1:$ZZ$1, 0))</f>
        <v>#N/A</v>
      </c>
    </row>
    <row r="212" spans="1:3" x14ac:dyDescent="0.3">
      <c r="A212" t="e">
        <f>INDEX(resultados!$A$2:$ZZ$956, 206, MATCH($B$1, resultados!$A$1:$ZZ$1, 0))</f>
        <v>#N/A</v>
      </c>
      <c r="B212" t="e">
        <f>INDEX(resultados!$A$2:$ZZ$956, 206, MATCH($B$2, resultados!$A$1:$ZZ$1, 0))</f>
        <v>#N/A</v>
      </c>
      <c r="C212" t="e">
        <f>INDEX(resultados!$A$2:$ZZ$956, 206, MATCH($B$3, resultados!$A$1:$ZZ$1, 0))</f>
        <v>#N/A</v>
      </c>
    </row>
    <row r="213" spans="1:3" x14ac:dyDescent="0.3">
      <c r="A213" t="e">
        <f>INDEX(resultados!$A$2:$ZZ$956, 207, MATCH($B$1, resultados!$A$1:$ZZ$1, 0))</f>
        <v>#N/A</v>
      </c>
      <c r="B213" t="e">
        <f>INDEX(resultados!$A$2:$ZZ$956, 207, MATCH($B$2, resultados!$A$1:$ZZ$1, 0))</f>
        <v>#N/A</v>
      </c>
      <c r="C213" t="e">
        <f>INDEX(resultados!$A$2:$ZZ$956, 207, MATCH($B$3, resultados!$A$1:$ZZ$1, 0))</f>
        <v>#N/A</v>
      </c>
    </row>
    <row r="214" spans="1:3" x14ac:dyDescent="0.3">
      <c r="A214" t="e">
        <f>INDEX(resultados!$A$2:$ZZ$956, 208, MATCH($B$1, resultados!$A$1:$ZZ$1, 0))</f>
        <v>#N/A</v>
      </c>
      <c r="B214" t="e">
        <f>INDEX(resultados!$A$2:$ZZ$956, 208, MATCH($B$2, resultados!$A$1:$ZZ$1, 0))</f>
        <v>#N/A</v>
      </c>
      <c r="C214" t="e">
        <f>INDEX(resultados!$A$2:$ZZ$956, 208, MATCH($B$3, resultados!$A$1:$ZZ$1, 0))</f>
        <v>#N/A</v>
      </c>
    </row>
    <row r="215" spans="1:3" x14ac:dyDescent="0.3">
      <c r="A215" t="e">
        <f>INDEX(resultados!$A$2:$ZZ$956, 209, MATCH($B$1, resultados!$A$1:$ZZ$1, 0))</f>
        <v>#N/A</v>
      </c>
      <c r="B215" t="e">
        <f>INDEX(resultados!$A$2:$ZZ$956, 209, MATCH($B$2, resultados!$A$1:$ZZ$1, 0))</f>
        <v>#N/A</v>
      </c>
      <c r="C215" t="e">
        <f>INDEX(resultados!$A$2:$ZZ$956, 209, MATCH($B$3, resultados!$A$1:$ZZ$1, 0))</f>
        <v>#N/A</v>
      </c>
    </row>
    <row r="216" spans="1:3" x14ac:dyDescent="0.3">
      <c r="A216" t="e">
        <f>INDEX(resultados!$A$2:$ZZ$956, 210, MATCH($B$1, resultados!$A$1:$ZZ$1, 0))</f>
        <v>#N/A</v>
      </c>
      <c r="B216" t="e">
        <f>INDEX(resultados!$A$2:$ZZ$956, 210, MATCH($B$2, resultados!$A$1:$ZZ$1, 0))</f>
        <v>#N/A</v>
      </c>
      <c r="C216" t="e">
        <f>INDEX(resultados!$A$2:$ZZ$956, 210, MATCH($B$3, resultados!$A$1:$ZZ$1, 0))</f>
        <v>#N/A</v>
      </c>
    </row>
    <row r="217" spans="1:3" x14ac:dyDescent="0.3">
      <c r="A217" t="e">
        <f>INDEX(resultados!$A$2:$ZZ$956, 211, MATCH($B$1, resultados!$A$1:$ZZ$1, 0))</f>
        <v>#N/A</v>
      </c>
      <c r="B217" t="e">
        <f>INDEX(resultados!$A$2:$ZZ$956, 211, MATCH($B$2, resultados!$A$1:$ZZ$1, 0))</f>
        <v>#N/A</v>
      </c>
      <c r="C217" t="e">
        <f>INDEX(resultados!$A$2:$ZZ$956, 211, MATCH($B$3, resultados!$A$1:$ZZ$1, 0))</f>
        <v>#N/A</v>
      </c>
    </row>
    <row r="218" spans="1:3" x14ac:dyDescent="0.3">
      <c r="A218" t="e">
        <f>INDEX(resultados!$A$2:$ZZ$956, 212, MATCH($B$1, resultados!$A$1:$ZZ$1, 0))</f>
        <v>#N/A</v>
      </c>
      <c r="B218" t="e">
        <f>INDEX(resultados!$A$2:$ZZ$956, 212, MATCH($B$2, resultados!$A$1:$ZZ$1, 0))</f>
        <v>#N/A</v>
      </c>
      <c r="C218" t="e">
        <f>INDEX(resultados!$A$2:$ZZ$956, 212, MATCH($B$3, resultados!$A$1:$ZZ$1, 0))</f>
        <v>#N/A</v>
      </c>
    </row>
    <row r="219" spans="1:3" x14ac:dyDescent="0.3">
      <c r="A219" t="e">
        <f>INDEX(resultados!$A$2:$ZZ$956, 213, MATCH($B$1, resultados!$A$1:$ZZ$1, 0))</f>
        <v>#N/A</v>
      </c>
      <c r="B219" t="e">
        <f>INDEX(resultados!$A$2:$ZZ$956, 213, MATCH($B$2, resultados!$A$1:$ZZ$1, 0))</f>
        <v>#N/A</v>
      </c>
      <c r="C219" t="e">
        <f>INDEX(resultados!$A$2:$ZZ$956, 213, MATCH($B$3, resultados!$A$1:$ZZ$1, 0))</f>
        <v>#N/A</v>
      </c>
    </row>
    <row r="220" spans="1:3" x14ac:dyDescent="0.3">
      <c r="A220" t="e">
        <f>INDEX(resultados!$A$2:$ZZ$956, 214, MATCH($B$1, resultados!$A$1:$ZZ$1, 0))</f>
        <v>#N/A</v>
      </c>
      <c r="B220" t="e">
        <f>INDEX(resultados!$A$2:$ZZ$956, 214, MATCH($B$2, resultados!$A$1:$ZZ$1, 0))</f>
        <v>#N/A</v>
      </c>
      <c r="C220" t="e">
        <f>INDEX(resultados!$A$2:$ZZ$956, 214, MATCH($B$3, resultados!$A$1:$ZZ$1, 0))</f>
        <v>#N/A</v>
      </c>
    </row>
    <row r="221" spans="1:3" x14ac:dyDescent="0.3">
      <c r="A221" t="e">
        <f>INDEX(resultados!$A$2:$ZZ$956, 215, MATCH($B$1, resultados!$A$1:$ZZ$1, 0))</f>
        <v>#N/A</v>
      </c>
      <c r="B221" t="e">
        <f>INDEX(resultados!$A$2:$ZZ$956, 215, MATCH($B$2, resultados!$A$1:$ZZ$1, 0))</f>
        <v>#N/A</v>
      </c>
      <c r="C221" t="e">
        <f>INDEX(resultados!$A$2:$ZZ$956, 215, MATCH($B$3, resultados!$A$1:$ZZ$1, 0))</f>
        <v>#N/A</v>
      </c>
    </row>
    <row r="222" spans="1:3" x14ac:dyDescent="0.3">
      <c r="A222" t="e">
        <f>INDEX(resultados!$A$2:$ZZ$956, 216, MATCH($B$1, resultados!$A$1:$ZZ$1, 0))</f>
        <v>#N/A</v>
      </c>
      <c r="B222" t="e">
        <f>INDEX(resultados!$A$2:$ZZ$956, 216, MATCH($B$2, resultados!$A$1:$ZZ$1, 0))</f>
        <v>#N/A</v>
      </c>
      <c r="C222" t="e">
        <f>INDEX(resultados!$A$2:$ZZ$956, 216, MATCH($B$3, resultados!$A$1:$ZZ$1, 0))</f>
        <v>#N/A</v>
      </c>
    </row>
    <row r="223" spans="1:3" x14ac:dyDescent="0.3">
      <c r="A223" t="e">
        <f>INDEX(resultados!$A$2:$ZZ$956, 217, MATCH($B$1, resultados!$A$1:$ZZ$1, 0))</f>
        <v>#N/A</v>
      </c>
      <c r="B223" t="e">
        <f>INDEX(resultados!$A$2:$ZZ$956, 217, MATCH($B$2, resultados!$A$1:$ZZ$1, 0))</f>
        <v>#N/A</v>
      </c>
      <c r="C223" t="e">
        <f>INDEX(resultados!$A$2:$ZZ$956, 217, MATCH($B$3, resultados!$A$1:$ZZ$1, 0))</f>
        <v>#N/A</v>
      </c>
    </row>
    <row r="224" spans="1:3" x14ac:dyDescent="0.3">
      <c r="A224" t="e">
        <f>INDEX(resultados!$A$2:$ZZ$956, 218, MATCH($B$1, resultados!$A$1:$ZZ$1, 0))</f>
        <v>#N/A</v>
      </c>
      <c r="B224" t="e">
        <f>INDEX(resultados!$A$2:$ZZ$956, 218, MATCH($B$2, resultados!$A$1:$ZZ$1, 0))</f>
        <v>#N/A</v>
      </c>
      <c r="C224" t="e">
        <f>INDEX(resultados!$A$2:$ZZ$956, 218, MATCH($B$3, resultados!$A$1:$ZZ$1, 0))</f>
        <v>#N/A</v>
      </c>
    </row>
    <row r="225" spans="1:3" x14ac:dyDescent="0.3">
      <c r="A225" t="e">
        <f>INDEX(resultados!$A$2:$ZZ$956, 219, MATCH($B$1, resultados!$A$1:$ZZ$1, 0))</f>
        <v>#N/A</v>
      </c>
      <c r="B225" t="e">
        <f>INDEX(resultados!$A$2:$ZZ$956, 219, MATCH($B$2, resultados!$A$1:$ZZ$1, 0))</f>
        <v>#N/A</v>
      </c>
      <c r="C225" t="e">
        <f>INDEX(resultados!$A$2:$ZZ$956, 219, MATCH($B$3, resultados!$A$1:$ZZ$1, 0))</f>
        <v>#N/A</v>
      </c>
    </row>
    <row r="226" spans="1:3" x14ac:dyDescent="0.3">
      <c r="A226" t="e">
        <f>INDEX(resultados!$A$2:$ZZ$956, 220, MATCH($B$1, resultados!$A$1:$ZZ$1, 0))</f>
        <v>#N/A</v>
      </c>
      <c r="B226" t="e">
        <f>INDEX(resultados!$A$2:$ZZ$956, 220, MATCH($B$2, resultados!$A$1:$ZZ$1, 0))</f>
        <v>#N/A</v>
      </c>
      <c r="C226" t="e">
        <f>INDEX(resultados!$A$2:$ZZ$956, 220, MATCH($B$3, resultados!$A$1:$ZZ$1, 0))</f>
        <v>#N/A</v>
      </c>
    </row>
    <row r="227" spans="1:3" x14ac:dyDescent="0.3">
      <c r="A227" t="e">
        <f>INDEX(resultados!$A$2:$ZZ$956, 221, MATCH($B$1, resultados!$A$1:$ZZ$1, 0))</f>
        <v>#N/A</v>
      </c>
      <c r="B227" t="e">
        <f>INDEX(resultados!$A$2:$ZZ$956, 221, MATCH($B$2, resultados!$A$1:$ZZ$1, 0))</f>
        <v>#N/A</v>
      </c>
      <c r="C227" t="e">
        <f>INDEX(resultados!$A$2:$ZZ$956, 221, MATCH($B$3, resultados!$A$1:$ZZ$1, 0))</f>
        <v>#N/A</v>
      </c>
    </row>
    <row r="228" spans="1:3" x14ac:dyDescent="0.3">
      <c r="A228" t="e">
        <f>INDEX(resultados!$A$2:$ZZ$956, 222, MATCH($B$1, resultados!$A$1:$ZZ$1, 0))</f>
        <v>#N/A</v>
      </c>
      <c r="B228" t="e">
        <f>INDEX(resultados!$A$2:$ZZ$956, 222, MATCH($B$2, resultados!$A$1:$ZZ$1, 0))</f>
        <v>#N/A</v>
      </c>
      <c r="C228" t="e">
        <f>INDEX(resultados!$A$2:$ZZ$956, 222, MATCH($B$3, resultados!$A$1:$ZZ$1, 0))</f>
        <v>#N/A</v>
      </c>
    </row>
    <row r="229" spans="1:3" x14ac:dyDescent="0.3">
      <c r="A229" t="e">
        <f>INDEX(resultados!$A$2:$ZZ$956, 223, MATCH($B$1, resultados!$A$1:$ZZ$1, 0))</f>
        <v>#N/A</v>
      </c>
      <c r="B229" t="e">
        <f>INDEX(resultados!$A$2:$ZZ$956, 223, MATCH($B$2, resultados!$A$1:$ZZ$1, 0))</f>
        <v>#N/A</v>
      </c>
      <c r="C229" t="e">
        <f>INDEX(resultados!$A$2:$ZZ$956, 223, MATCH($B$3, resultados!$A$1:$ZZ$1, 0))</f>
        <v>#N/A</v>
      </c>
    </row>
    <row r="230" spans="1:3" x14ac:dyDescent="0.3">
      <c r="A230" t="e">
        <f>INDEX(resultados!$A$2:$ZZ$956, 224, MATCH($B$1, resultados!$A$1:$ZZ$1, 0))</f>
        <v>#N/A</v>
      </c>
      <c r="B230" t="e">
        <f>INDEX(resultados!$A$2:$ZZ$956, 224, MATCH($B$2, resultados!$A$1:$ZZ$1, 0))</f>
        <v>#N/A</v>
      </c>
      <c r="C230" t="e">
        <f>INDEX(resultados!$A$2:$ZZ$956, 224, MATCH($B$3, resultados!$A$1:$ZZ$1, 0))</f>
        <v>#N/A</v>
      </c>
    </row>
    <row r="231" spans="1:3" x14ac:dyDescent="0.3">
      <c r="A231" t="e">
        <f>INDEX(resultados!$A$2:$ZZ$956, 225, MATCH($B$1, resultados!$A$1:$ZZ$1, 0))</f>
        <v>#N/A</v>
      </c>
      <c r="B231" t="e">
        <f>INDEX(resultados!$A$2:$ZZ$956, 225, MATCH($B$2, resultados!$A$1:$ZZ$1, 0))</f>
        <v>#N/A</v>
      </c>
      <c r="C231" t="e">
        <f>INDEX(resultados!$A$2:$ZZ$956, 225, MATCH($B$3, resultados!$A$1:$ZZ$1, 0))</f>
        <v>#N/A</v>
      </c>
    </row>
    <row r="232" spans="1:3" x14ac:dyDescent="0.3">
      <c r="A232" t="e">
        <f>INDEX(resultados!$A$2:$ZZ$956, 226, MATCH($B$1, resultados!$A$1:$ZZ$1, 0))</f>
        <v>#N/A</v>
      </c>
      <c r="B232" t="e">
        <f>INDEX(resultados!$A$2:$ZZ$956, 226, MATCH($B$2, resultados!$A$1:$ZZ$1, 0))</f>
        <v>#N/A</v>
      </c>
      <c r="C232" t="e">
        <f>INDEX(resultados!$A$2:$ZZ$956, 226, MATCH($B$3, resultados!$A$1:$ZZ$1, 0))</f>
        <v>#N/A</v>
      </c>
    </row>
    <row r="233" spans="1:3" x14ac:dyDescent="0.3">
      <c r="A233" t="e">
        <f>INDEX(resultados!$A$2:$ZZ$956, 227, MATCH($B$1, resultados!$A$1:$ZZ$1, 0))</f>
        <v>#N/A</v>
      </c>
      <c r="B233" t="e">
        <f>INDEX(resultados!$A$2:$ZZ$956, 227, MATCH($B$2, resultados!$A$1:$ZZ$1, 0))</f>
        <v>#N/A</v>
      </c>
      <c r="C233" t="e">
        <f>INDEX(resultados!$A$2:$ZZ$956, 227, MATCH($B$3, resultados!$A$1:$ZZ$1, 0))</f>
        <v>#N/A</v>
      </c>
    </row>
    <row r="234" spans="1:3" x14ac:dyDescent="0.3">
      <c r="A234" t="e">
        <f>INDEX(resultados!$A$2:$ZZ$956, 228, MATCH($B$1, resultados!$A$1:$ZZ$1, 0))</f>
        <v>#N/A</v>
      </c>
      <c r="B234" t="e">
        <f>INDEX(resultados!$A$2:$ZZ$956, 228, MATCH($B$2, resultados!$A$1:$ZZ$1, 0))</f>
        <v>#N/A</v>
      </c>
      <c r="C234" t="e">
        <f>INDEX(resultados!$A$2:$ZZ$956, 228, MATCH($B$3, resultados!$A$1:$ZZ$1, 0))</f>
        <v>#N/A</v>
      </c>
    </row>
    <row r="235" spans="1:3" x14ac:dyDescent="0.3">
      <c r="A235" t="e">
        <f>INDEX(resultados!$A$2:$ZZ$956, 229, MATCH($B$1, resultados!$A$1:$ZZ$1, 0))</f>
        <v>#N/A</v>
      </c>
      <c r="B235" t="e">
        <f>INDEX(resultados!$A$2:$ZZ$956, 229, MATCH($B$2, resultados!$A$1:$ZZ$1, 0))</f>
        <v>#N/A</v>
      </c>
      <c r="C235" t="e">
        <f>INDEX(resultados!$A$2:$ZZ$956, 229, MATCH($B$3, resultados!$A$1:$ZZ$1, 0))</f>
        <v>#N/A</v>
      </c>
    </row>
    <row r="236" spans="1:3" x14ac:dyDescent="0.3">
      <c r="A236" t="e">
        <f>INDEX(resultados!$A$2:$ZZ$956, 230, MATCH($B$1, resultados!$A$1:$ZZ$1, 0))</f>
        <v>#N/A</v>
      </c>
      <c r="B236" t="e">
        <f>INDEX(resultados!$A$2:$ZZ$956, 230, MATCH($B$2, resultados!$A$1:$ZZ$1, 0))</f>
        <v>#N/A</v>
      </c>
      <c r="C236" t="e">
        <f>INDEX(resultados!$A$2:$ZZ$956, 230, MATCH($B$3, resultados!$A$1:$ZZ$1, 0))</f>
        <v>#N/A</v>
      </c>
    </row>
    <row r="237" spans="1:3" x14ac:dyDescent="0.3">
      <c r="A237" t="e">
        <f>INDEX(resultados!$A$2:$ZZ$956, 231, MATCH($B$1, resultados!$A$1:$ZZ$1, 0))</f>
        <v>#N/A</v>
      </c>
      <c r="B237" t="e">
        <f>INDEX(resultados!$A$2:$ZZ$956, 231, MATCH($B$2, resultados!$A$1:$ZZ$1, 0))</f>
        <v>#N/A</v>
      </c>
      <c r="C237" t="e">
        <f>INDEX(resultados!$A$2:$ZZ$956, 231, MATCH($B$3, resultados!$A$1:$ZZ$1, 0))</f>
        <v>#N/A</v>
      </c>
    </row>
    <row r="238" spans="1:3" x14ac:dyDescent="0.3">
      <c r="A238" t="e">
        <f>INDEX(resultados!$A$2:$ZZ$956, 232, MATCH($B$1, resultados!$A$1:$ZZ$1, 0))</f>
        <v>#N/A</v>
      </c>
      <c r="B238" t="e">
        <f>INDEX(resultados!$A$2:$ZZ$956, 232, MATCH($B$2, resultados!$A$1:$ZZ$1, 0))</f>
        <v>#N/A</v>
      </c>
      <c r="C238" t="e">
        <f>INDEX(resultados!$A$2:$ZZ$956, 232, MATCH($B$3, resultados!$A$1:$ZZ$1, 0))</f>
        <v>#N/A</v>
      </c>
    </row>
    <row r="239" spans="1:3" x14ac:dyDescent="0.3">
      <c r="A239" t="e">
        <f>INDEX(resultados!$A$2:$ZZ$956, 233, MATCH($B$1, resultados!$A$1:$ZZ$1, 0))</f>
        <v>#N/A</v>
      </c>
      <c r="B239" t="e">
        <f>INDEX(resultados!$A$2:$ZZ$956, 233, MATCH($B$2, resultados!$A$1:$ZZ$1, 0))</f>
        <v>#N/A</v>
      </c>
      <c r="C239" t="e">
        <f>INDEX(resultados!$A$2:$ZZ$956, 233, MATCH($B$3, resultados!$A$1:$ZZ$1, 0))</f>
        <v>#N/A</v>
      </c>
    </row>
    <row r="240" spans="1:3" x14ac:dyDescent="0.3">
      <c r="A240" t="e">
        <f>INDEX(resultados!$A$2:$ZZ$956, 234, MATCH($B$1, resultados!$A$1:$ZZ$1, 0))</f>
        <v>#N/A</v>
      </c>
      <c r="B240" t="e">
        <f>INDEX(resultados!$A$2:$ZZ$956, 234, MATCH($B$2, resultados!$A$1:$ZZ$1, 0))</f>
        <v>#N/A</v>
      </c>
      <c r="C240" t="e">
        <f>INDEX(resultados!$A$2:$ZZ$956, 234, MATCH($B$3, resultados!$A$1:$ZZ$1, 0))</f>
        <v>#N/A</v>
      </c>
    </row>
    <row r="241" spans="1:3" x14ac:dyDescent="0.3">
      <c r="A241" t="e">
        <f>INDEX(resultados!$A$2:$ZZ$956, 235, MATCH($B$1, resultados!$A$1:$ZZ$1, 0))</f>
        <v>#N/A</v>
      </c>
      <c r="B241" t="e">
        <f>INDEX(resultados!$A$2:$ZZ$956, 235, MATCH($B$2, resultados!$A$1:$ZZ$1, 0))</f>
        <v>#N/A</v>
      </c>
      <c r="C241" t="e">
        <f>INDEX(resultados!$A$2:$ZZ$956, 235, MATCH($B$3, resultados!$A$1:$ZZ$1, 0))</f>
        <v>#N/A</v>
      </c>
    </row>
    <row r="242" spans="1:3" x14ac:dyDescent="0.3">
      <c r="A242" t="e">
        <f>INDEX(resultados!$A$2:$ZZ$956, 236, MATCH($B$1, resultados!$A$1:$ZZ$1, 0))</f>
        <v>#N/A</v>
      </c>
      <c r="B242" t="e">
        <f>INDEX(resultados!$A$2:$ZZ$956, 236, MATCH($B$2, resultados!$A$1:$ZZ$1, 0))</f>
        <v>#N/A</v>
      </c>
      <c r="C242" t="e">
        <f>INDEX(resultados!$A$2:$ZZ$956, 236, MATCH($B$3, resultados!$A$1:$ZZ$1, 0))</f>
        <v>#N/A</v>
      </c>
    </row>
    <row r="243" spans="1:3" x14ac:dyDescent="0.3">
      <c r="A243" t="e">
        <f>INDEX(resultados!$A$2:$ZZ$956, 237, MATCH($B$1, resultados!$A$1:$ZZ$1, 0))</f>
        <v>#N/A</v>
      </c>
      <c r="B243" t="e">
        <f>INDEX(resultados!$A$2:$ZZ$956, 237, MATCH($B$2, resultados!$A$1:$ZZ$1, 0))</f>
        <v>#N/A</v>
      </c>
      <c r="C243" t="e">
        <f>INDEX(resultados!$A$2:$ZZ$956, 237, MATCH($B$3, resultados!$A$1:$ZZ$1, 0))</f>
        <v>#N/A</v>
      </c>
    </row>
    <row r="244" spans="1:3" x14ac:dyDescent="0.3">
      <c r="A244" t="e">
        <f>INDEX(resultados!$A$2:$ZZ$956, 238, MATCH($B$1, resultados!$A$1:$ZZ$1, 0))</f>
        <v>#N/A</v>
      </c>
      <c r="B244" t="e">
        <f>INDEX(resultados!$A$2:$ZZ$956, 238, MATCH($B$2, resultados!$A$1:$ZZ$1, 0))</f>
        <v>#N/A</v>
      </c>
      <c r="C244" t="e">
        <f>INDEX(resultados!$A$2:$ZZ$956, 238, MATCH($B$3, resultados!$A$1:$ZZ$1, 0))</f>
        <v>#N/A</v>
      </c>
    </row>
    <row r="245" spans="1:3" x14ac:dyDescent="0.3">
      <c r="A245" t="e">
        <f>INDEX(resultados!$A$2:$ZZ$956, 239, MATCH($B$1, resultados!$A$1:$ZZ$1, 0))</f>
        <v>#N/A</v>
      </c>
      <c r="B245" t="e">
        <f>INDEX(resultados!$A$2:$ZZ$956, 239, MATCH($B$2, resultados!$A$1:$ZZ$1, 0))</f>
        <v>#N/A</v>
      </c>
      <c r="C245" t="e">
        <f>INDEX(resultados!$A$2:$ZZ$956, 239, MATCH($B$3, resultados!$A$1:$ZZ$1, 0))</f>
        <v>#N/A</v>
      </c>
    </row>
    <row r="246" spans="1:3" x14ac:dyDescent="0.3">
      <c r="A246" t="e">
        <f>INDEX(resultados!$A$2:$ZZ$956, 240, MATCH($B$1, resultados!$A$1:$ZZ$1, 0))</f>
        <v>#N/A</v>
      </c>
      <c r="B246" t="e">
        <f>INDEX(resultados!$A$2:$ZZ$956, 240, MATCH($B$2, resultados!$A$1:$ZZ$1, 0))</f>
        <v>#N/A</v>
      </c>
      <c r="C246" t="e">
        <f>INDEX(resultados!$A$2:$ZZ$956, 240, MATCH($B$3, resultados!$A$1:$ZZ$1, 0))</f>
        <v>#N/A</v>
      </c>
    </row>
    <row r="247" spans="1:3" x14ac:dyDescent="0.3">
      <c r="A247" t="e">
        <f>INDEX(resultados!$A$2:$ZZ$956, 241, MATCH($B$1, resultados!$A$1:$ZZ$1, 0))</f>
        <v>#N/A</v>
      </c>
      <c r="B247" t="e">
        <f>INDEX(resultados!$A$2:$ZZ$956, 241, MATCH($B$2, resultados!$A$1:$ZZ$1, 0))</f>
        <v>#N/A</v>
      </c>
      <c r="C247" t="e">
        <f>INDEX(resultados!$A$2:$ZZ$956, 241, MATCH($B$3, resultados!$A$1:$ZZ$1, 0))</f>
        <v>#N/A</v>
      </c>
    </row>
    <row r="248" spans="1:3" x14ac:dyDescent="0.3">
      <c r="A248" t="e">
        <f>INDEX(resultados!$A$2:$ZZ$956, 242, MATCH($B$1, resultados!$A$1:$ZZ$1, 0))</f>
        <v>#N/A</v>
      </c>
      <c r="B248" t="e">
        <f>INDEX(resultados!$A$2:$ZZ$956, 242, MATCH($B$2, resultados!$A$1:$ZZ$1, 0))</f>
        <v>#N/A</v>
      </c>
      <c r="C248" t="e">
        <f>INDEX(resultados!$A$2:$ZZ$956, 242, MATCH($B$3, resultados!$A$1:$ZZ$1, 0))</f>
        <v>#N/A</v>
      </c>
    </row>
    <row r="249" spans="1:3" x14ac:dyDescent="0.3">
      <c r="A249" t="e">
        <f>INDEX(resultados!$A$2:$ZZ$956, 243, MATCH($B$1, resultados!$A$1:$ZZ$1, 0))</f>
        <v>#N/A</v>
      </c>
      <c r="B249" t="e">
        <f>INDEX(resultados!$A$2:$ZZ$956, 243, MATCH($B$2, resultados!$A$1:$ZZ$1, 0))</f>
        <v>#N/A</v>
      </c>
      <c r="C249" t="e">
        <f>INDEX(resultados!$A$2:$ZZ$956, 243, MATCH($B$3, resultados!$A$1:$ZZ$1, 0))</f>
        <v>#N/A</v>
      </c>
    </row>
    <row r="250" spans="1:3" x14ac:dyDescent="0.3">
      <c r="A250" t="e">
        <f>INDEX(resultados!$A$2:$ZZ$956, 244, MATCH($B$1, resultados!$A$1:$ZZ$1, 0))</f>
        <v>#N/A</v>
      </c>
      <c r="B250" t="e">
        <f>INDEX(resultados!$A$2:$ZZ$956, 244, MATCH($B$2, resultados!$A$1:$ZZ$1, 0))</f>
        <v>#N/A</v>
      </c>
      <c r="C250" t="e">
        <f>INDEX(resultados!$A$2:$ZZ$956, 244, MATCH($B$3, resultados!$A$1:$ZZ$1, 0))</f>
        <v>#N/A</v>
      </c>
    </row>
    <row r="251" spans="1:3" x14ac:dyDescent="0.3">
      <c r="A251" t="e">
        <f>INDEX(resultados!$A$2:$ZZ$956, 245, MATCH($B$1, resultados!$A$1:$ZZ$1, 0))</f>
        <v>#N/A</v>
      </c>
      <c r="B251" t="e">
        <f>INDEX(resultados!$A$2:$ZZ$956, 245, MATCH($B$2, resultados!$A$1:$ZZ$1, 0))</f>
        <v>#N/A</v>
      </c>
      <c r="C251" t="e">
        <f>INDEX(resultados!$A$2:$ZZ$956, 245, MATCH($B$3, resultados!$A$1:$ZZ$1, 0))</f>
        <v>#N/A</v>
      </c>
    </row>
    <row r="252" spans="1:3" x14ac:dyDescent="0.3">
      <c r="A252" t="e">
        <f>INDEX(resultados!$A$2:$ZZ$956, 246, MATCH($B$1, resultados!$A$1:$ZZ$1, 0))</f>
        <v>#N/A</v>
      </c>
      <c r="B252" t="e">
        <f>INDEX(resultados!$A$2:$ZZ$956, 246, MATCH($B$2, resultados!$A$1:$ZZ$1, 0))</f>
        <v>#N/A</v>
      </c>
      <c r="C252" t="e">
        <f>INDEX(resultados!$A$2:$ZZ$956, 246, MATCH($B$3, resultados!$A$1:$ZZ$1, 0))</f>
        <v>#N/A</v>
      </c>
    </row>
    <row r="253" spans="1:3" x14ac:dyDescent="0.3">
      <c r="A253" t="e">
        <f>INDEX(resultados!$A$2:$ZZ$956, 247, MATCH($B$1, resultados!$A$1:$ZZ$1, 0))</f>
        <v>#N/A</v>
      </c>
      <c r="B253" t="e">
        <f>INDEX(resultados!$A$2:$ZZ$956, 247, MATCH($B$2, resultados!$A$1:$ZZ$1, 0))</f>
        <v>#N/A</v>
      </c>
      <c r="C253" t="e">
        <f>INDEX(resultados!$A$2:$ZZ$956, 247, MATCH($B$3, resultados!$A$1:$ZZ$1, 0))</f>
        <v>#N/A</v>
      </c>
    </row>
    <row r="254" spans="1:3" x14ac:dyDescent="0.3">
      <c r="A254" t="e">
        <f>INDEX(resultados!$A$2:$ZZ$956, 248, MATCH($B$1, resultados!$A$1:$ZZ$1, 0))</f>
        <v>#N/A</v>
      </c>
      <c r="B254" t="e">
        <f>INDEX(resultados!$A$2:$ZZ$956, 248, MATCH($B$2, resultados!$A$1:$ZZ$1, 0))</f>
        <v>#N/A</v>
      </c>
      <c r="C254" t="e">
        <f>INDEX(resultados!$A$2:$ZZ$956, 248, MATCH($B$3, resultados!$A$1:$ZZ$1, 0))</f>
        <v>#N/A</v>
      </c>
    </row>
    <row r="255" spans="1:3" x14ac:dyDescent="0.3">
      <c r="A255" t="e">
        <f>INDEX(resultados!$A$2:$ZZ$956, 249, MATCH($B$1, resultados!$A$1:$ZZ$1, 0))</f>
        <v>#N/A</v>
      </c>
      <c r="B255" t="e">
        <f>INDEX(resultados!$A$2:$ZZ$956, 249, MATCH($B$2, resultados!$A$1:$ZZ$1, 0))</f>
        <v>#N/A</v>
      </c>
      <c r="C255" t="e">
        <f>INDEX(resultados!$A$2:$ZZ$956, 249, MATCH($B$3, resultados!$A$1:$ZZ$1, 0))</f>
        <v>#N/A</v>
      </c>
    </row>
    <row r="256" spans="1:3" x14ac:dyDescent="0.3">
      <c r="A256" t="e">
        <f>INDEX(resultados!$A$2:$ZZ$956, 250, MATCH($B$1, resultados!$A$1:$ZZ$1, 0))</f>
        <v>#N/A</v>
      </c>
      <c r="B256" t="e">
        <f>INDEX(resultados!$A$2:$ZZ$956, 250, MATCH($B$2, resultados!$A$1:$ZZ$1, 0))</f>
        <v>#N/A</v>
      </c>
      <c r="C256" t="e">
        <f>INDEX(resultados!$A$2:$ZZ$956, 250, MATCH($B$3, resultados!$A$1:$ZZ$1, 0))</f>
        <v>#N/A</v>
      </c>
    </row>
    <row r="257" spans="1:3" x14ac:dyDescent="0.3">
      <c r="A257" t="e">
        <f>INDEX(resultados!$A$2:$ZZ$956, 251, MATCH($B$1, resultados!$A$1:$ZZ$1, 0))</f>
        <v>#N/A</v>
      </c>
      <c r="B257" t="e">
        <f>INDEX(resultados!$A$2:$ZZ$956, 251, MATCH($B$2, resultados!$A$1:$ZZ$1, 0))</f>
        <v>#N/A</v>
      </c>
      <c r="C257" t="e">
        <f>INDEX(resultados!$A$2:$ZZ$956, 251, MATCH($B$3, resultados!$A$1:$ZZ$1, 0))</f>
        <v>#N/A</v>
      </c>
    </row>
    <row r="258" spans="1:3" x14ac:dyDescent="0.3">
      <c r="A258" t="e">
        <f>INDEX(resultados!$A$2:$ZZ$956, 252, MATCH($B$1, resultados!$A$1:$ZZ$1, 0))</f>
        <v>#N/A</v>
      </c>
      <c r="B258" t="e">
        <f>INDEX(resultados!$A$2:$ZZ$956, 252, MATCH($B$2, resultados!$A$1:$ZZ$1, 0))</f>
        <v>#N/A</v>
      </c>
      <c r="C258" t="e">
        <f>INDEX(resultados!$A$2:$ZZ$956, 252, MATCH($B$3, resultados!$A$1:$ZZ$1, 0))</f>
        <v>#N/A</v>
      </c>
    </row>
    <row r="259" spans="1:3" x14ac:dyDescent="0.3">
      <c r="A259" t="e">
        <f>INDEX(resultados!$A$2:$ZZ$956, 253, MATCH($B$1, resultados!$A$1:$ZZ$1, 0))</f>
        <v>#N/A</v>
      </c>
      <c r="B259" t="e">
        <f>INDEX(resultados!$A$2:$ZZ$956, 253, MATCH($B$2, resultados!$A$1:$ZZ$1, 0))</f>
        <v>#N/A</v>
      </c>
      <c r="C259" t="e">
        <f>INDEX(resultados!$A$2:$ZZ$956, 253, MATCH($B$3, resultados!$A$1:$ZZ$1, 0))</f>
        <v>#N/A</v>
      </c>
    </row>
    <row r="260" spans="1:3" x14ac:dyDescent="0.3">
      <c r="A260" t="e">
        <f>INDEX(resultados!$A$2:$ZZ$956, 254, MATCH($B$1, resultados!$A$1:$ZZ$1, 0))</f>
        <v>#N/A</v>
      </c>
      <c r="B260" t="e">
        <f>INDEX(resultados!$A$2:$ZZ$956, 254, MATCH($B$2, resultados!$A$1:$ZZ$1, 0))</f>
        <v>#N/A</v>
      </c>
      <c r="C260" t="e">
        <f>INDEX(resultados!$A$2:$ZZ$956, 254, MATCH($B$3, resultados!$A$1:$ZZ$1, 0))</f>
        <v>#N/A</v>
      </c>
    </row>
    <row r="261" spans="1:3" x14ac:dyDescent="0.3">
      <c r="A261" t="e">
        <f>INDEX(resultados!$A$2:$ZZ$956, 255, MATCH($B$1, resultados!$A$1:$ZZ$1, 0))</f>
        <v>#N/A</v>
      </c>
      <c r="B261" t="e">
        <f>INDEX(resultados!$A$2:$ZZ$956, 255, MATCH($B$2, resultados!$A$1:$ZZ$1, 0))</f>
        <v>#N/A</v>
      </c>
      <c r="C261" t="e">
        <f>INDEX(resultados!$A$2:$ZZ$956, 255, MATCH($B$3, resultados!$A$1:$ZZ$1, 0))</f>
        <v>#N/A</v>
      </c>
    </row>
    <row r="262" spans="1:3" x14ac:dyDescent="0.3">
      <c r="A262" t="e">
        <f>INDEX(resultados!$A$2:$ZZ$956, 256, MATCH($B$1, resultados!$A$1:$ZZ$1, 0))</f>
        <v>#N/A</v>
      </c>
      <c r="B262" t="e">
        <f>INDEX(resultados!$A$2:$ZZ$956, 256, MATCH($B$2, resultados!$A$1:$ZZ$1, 0))</f>
        <v>#N/A</v>
      </c>
      <c r="C262" t="e">
        <f>INDEX(resultados!$A$2:$ZZ$956, 256, MATCH($B$3, resultados!$A$1:$ZZ$1, 0))</f>
        <v>#N/A</v>
      </c>
    </row>
    <row r="263" spans="1:3" x14ac:dyDescent="0.3">
      <c r="A263" t="e">
        <f>INDEX(resultados!$A$2:$ZZ$956, 257, MATCH($B$1, resultados!$A$1:$ZZ$1, 0))</f>
        <v>#N/A</v>
      </c>
      <c r="B263" t="e">
        <f>INDEX(resultados!$A$2:$ZZ$956, 257, MATCH($B$2, resultados!$A$1:$ZZ$1, 0))</f>
        <v>#N/A</v>
      </c>
      <c r="C263" t="e">
        <f>INDEX(resultados!$A$2:$ZZ$956, 257, MATCH($B$3, resultados!$A$1:$ZZ$1, 0))</f>
        <v>#N/A</v>
      </c>
    </row>
    <row r="264" spans="1:3" x14ac:dyDescent="0.3">
      <c r="A264" t="e">
        <f>INDEX(resultados!$A$2:$ZZ$956, 258, MATCH($B$1, resultados!$A$1:$ZZ$1, 0))</f>
        <v>#N/A</v>
      </c>
      <c r="B264" t="e">
        <f>INDEX(resultados!$A$2:$ZZ$956, 258, MATCH($B$2, resultados!$A$1:$ZZ$1, 0))</f>
        <v>#N/A</v>
      </c>
      <c r="C264" t="e">
        <f>INDEX(resultados!$A$2:$ZZ$956, 258, MATCH($B$3, resultados!$A$1:$ZZ$1, 0))</f>
        <v>#N/A</v>
      </c>
    </row>
    <row r="265" spans="1:3" x14ac:dyDescent="0.3">
      <c r="A265" t="e">
        <f>INDEX(resultados!$A$2:$ZZ$956, 259, MATCH($B$1, resultados!$A$1:$ZZ$1, 0))</f>
        <v>#N/A</v>
      </c>
      <c r="B265" t="e">
        <f>INDEX(resultados!$A$2:$ZZ$956, 259, MATCH($B$2, resultados!$A$1:$ZZ$1, 0))</f>
        <v>#N/A</v>
      </c>
      <c r="C265" t="e">
        <f>INDEX(resultados!$A$2:$ZZ$956, 259, MATCH($B$3, resultados!$A$1:$ZZ$1, 0))</f>
        <v>#N/A</v>
      </c>
    </row>
    <row r="266" spans="1:3" x14ac:dyDescent="0.3">
      <c r="A266" t="e">
        <f>INDEX(resultados!$A$2:$ZZ$956, 260, MATCH($B$1, resultados!$A$1:$ZZ$1, 0))</f>
        <v>#N/A</v>
      </c>
      <c r="B266" t="e">
        <f>INDEX(resultados!$A$2:$ZZ$956, 260, MATCH($B$2, resultados!$A$1:$ZZ$1, 0))</f>
        <v>#N/A</v>
      </c>
      <c r="C266" t="e">
        <f>INDEX(resultados!$A$2:$ZZ$956, 260, MATCH($B$3, resultados!$A$1:$ZZ$1, 0))</f>
        <v>#N/A</v>
      </c>
    </row>
    <row r="267" spans="1:3" x14ac:dyDescent="0.3">
      <c r="A267" t="e">
        <f>INDEX(resultados!$A$2:$ZZ$956, 261, MATCH($B$1, resultados!$A$1:$ZZ$1, 0))</f>
        <v>#N/A</v>
      </c>
      <c r="B267" t="e">
        <f>INDEX(resultados!$A$2:$ZZ$956, 261, MATCH($B$2, resultados!$A$1:$ZZ$1, 0))</f>
        <v>#N/A</v>
      </c>
      <c r="C267" t="e">
        <f>INDEX(resultados!$A$2:$ZZ$956, 261, MATCH($B$3, resultados!$A$1:$ZZ$1, 0))</f>
        <v>#N/A</v>
      </c>
    </row>
    <row r="268" spans="1:3" x14ac:dyDescent="0.3">
      <c r="A268" t="e">
        <f>INDEX(resultados!$A$2:$ZZ$956, 262, MATCH($B$1, resultados!$A$1:$ZZ$1, 0))</f>
        <v>#N/A</v>
      </c>
      <c r="B268" t="e">
        <f>INDEX(resultados!$A$2:$ZZ$956, 262, MATCH($B$2, resultados!$A$1:$ZZ$1, 0))</f>
        <v>#N/A</v>
      </c>
      <c r="C268" t="e">
        <f>INDEX(resultados!$A$2:$ZZ$956, 262, MATCH($B$3, resultados!$A$1:$ZZ$1, 0))</f>
        <v>#N/A</v>
      </c>
    </row>
    <row r="269" spans="1:3" x14ac:dyDescent="0.3">
      <c r="A269" t="e">
        <f>INDEX(resultados!$A$2:$ZZ$956, 263, MATCH($B$1, resultados!$A$1:$ZZ$1, 0))</f>
        <v>#N/A</v>
      </c>
      <c r="B269" t="e">
        <f>INDEX(resultados!$A$2:$ZZ$956, 263, MATCH($B$2, resultados!$A$1:$ZZ$1, 0))</f>
        <v>#N/A</v>
      </c>
      <c r="C269" t="e">
        <f>INDEX(resultados!$A$2:$ZZ$956, 263, MATCH($B$3, resultados!$A$1:$ZZ$1, 0))</f>
        <v>#N/A</v>
      </c>
    </row>
    <row r="270" spans="1:3" x14ac:dyDescent="0.3">
      <c r="A270" t="e">
        <f>INDEX(resultados!$A$2:$ZZ$956, 264, MATCH($B$1, resultados!$A$1:$ZZ$1, 0))</f>
        <v>#N/A</v>
      </c>
      <c r="B270" t="e">
        <f>INDEX(resultados!$A$2:$ZZ$956, 264, MATCH($B$2, resultados!$A$1:$ZZ$1, 0))</f>
        <v>#N/A</v>
      </c>
      <c r="C270" t="e">
        <f>INDEX(resultados!$A$2:$ZZ$956, 264, MATCH($B$3, resultados!$A$1:$ZZ$1, 0))</f>
        <v>#N/A</v>
      </c>
    </row>
    <row r="271" spans="1:3" x14ac:dyDescent="0.3">
      <c r="A271" t="e">
        <f>INDEX(resultados!$A$2:$ZZ$956, 265, MATCH($B$1, resultados!$A$1:$ZZ$1, 0))</f>
        <v>#N/A</v>
      </c>
      <c r="B271" t="e">
        <f>INDEX(resultados!$A$2:$ZZ$956, 265, MATCH($B$2, resultados!$A$1:$ZZ$1, 0))</f>
        <v>#N/A</v>
      </c>
      <c r="C271" t="e">
        <f>INDEX(resultados!$A$2:$ZZ$956, 265, MATCH($B$3, resultados!$A$1:$ZZ$1, 0))</f>
        <v>#N/A</v>
      </c>
    </row>
    <row r="272" spans="1:3" x14ac:dyDescent="0.3">
      <c r="A272" t="e">
        <f>INDEX(resultados!$A$2:$ZZ$956, 266, MATCH($B$1, resultados!$A$1:$ZZ$1, 0))</f>
        <v>#N/A</v>
      </c>
      <c r="B272" t="e">
        <f>INDEX(resultados!$A$2:$ZZ$956, 266, MATCH($B$2, resultados!$A$1:$ZZ$1, 0))</f>
        <v>#N/A</v>
      </c>
      <c r="C272" t="e">
        <f>INDEX(resultados!$A$2:$ZZ$956, 266, MATCH($B$3, resultados!$A$1:$ZZ$1, 0))</f>
        <v>#N/A</v>
      </c>
    </row>
    <row r="273" spans="1:3" x14ac:dyDescent="0.3">
      <c r="A273" t="e">
        <f>INDEX(resultados!$A$2:$ZZ$956, 267, MATCH($B$1, resultados!$A$1:$ZZ$1, 0))</f>
        <v>#N/A</v>
      </c>
      <c r="B273" t="e">
        <f>INDEX(resultados!$A$2:$ZZ$956, 267, MATCH($B$2, resultados!$A$1:$ZZ$1, 0))</f>
        <v>#N/A</v>
      </c>
      <c r="C273" t="e">
        <f>INDEX(resultados!$A$2:$ZZ$956, 267, MATCH($B$3, resultados!$A$1:$ZZ$1, 0))</f>
        <v>#N/A</v>
      </c>
    </row>
    <row r="274" spans="1:3" x14ac:dyDescent="0.3">
      <c r="A274" t="e">
        <f>INDEX(resultados!$A$2:$ZZ$956, 268, MATCH($B$1, resultados!$A$1:$ZZ$1, 0))</f>
        <v>#N/A</v>
      </c>
      <c r="B274" t="e">
        <f>INDEX(resultados!$A$2:$ZZ$956, 268, MATCH($B$2, resultados!$A$1:$ZZ$1, 0))</f>
        <v>#N/A</v>
      </c>
      <c r="C274" t="e">
        <f>INDEX(resultados!$A$2:$ZZ$956, 268, MATCH($B$3, resultados!$A$1:$ZZ$1, 0))</f>
        <v>#N/A</v>
      </c>
    </row>
    <row r="275" spans="1:3" x14ac:dyDescent="0.3">
      <c r="A275" t="e">
        <f>INDEX(resultados!$A$2:$ZZ$956, 269, MATCH($B$1, resultados!$A$1:$ZZ$1, 0))</f>
        <v>#N/A</v>
      </c>
      <c r="B275" t="e">
        <f>INDEX(resultados!$A$2:$ZZ$956, 269, MATCH($B$2, resultados!$A$1:$ZZ$1, 0))</f>
        <v>#N/A</v>
      </c>
      <c r="C275" t="e">
        <f>INDEX(resultados!$A$2:$ZZ$956, 269, MATCH($B$3, resultados!$A$1:$ZZ$1, 0))</f>
        <v>#N/A</v>
      </c>
    </row>
    <row r="276" spans="1:3" x14ac:dyDescent="0.3">
      <c r="A276" t="e">
        <f>INDEX(resultados!$A$2:$ZZ$956, 270, MATCH($B$1, resultados!$A$1:$ZZ$1, 0))</f>
        <v>#N/A</v>
      </c>
      <c r="B276" t="e">
        <f>INDEX(resultados!$A$2:$ZZ$956, 270, MATCH($B$2, resultados!$A$1:$ZZ$1, 0))</f>
        <v>#N/A</v>
      </c>
      <c r="C276" t="e">
        <f>INDEX(resultados!$A$2:$ZZ$956, 270, MATCH($B$3, resultados!$A$1:$ZZ$1, 0))</f>
        <v>#N/A</v>
      </c>
    </row>
    <row r="277" spans="1:3" x14ac:dyDescent="0.3">
      <c r="A277" t="e">
        <f>INDEX(resultados!$A$2:$ZZ$956, 271, MATCH($B$1, resultados!$A$1:$ZZ$1, 0))</f>
        <v>#N/A</v>
      </c>
      <c r="B277" t="e">
        <f>INDEX(resultados!$A$2:$ZZ$956, 271, MATCH($B$2, resultados!$A$1:$ZZ$1, 0))</f>
        <v>#N/A</v>
      </c>
      <c r="C277" t="e">
        <f>INDEX(resultados!$A$2:$ZZ$956, 271, MATCH($B$3, resultados!$A$1:$ZZ$1, 0))</f>
        <v>#N/A</v>
      </c>
    </row>
    <row r="278" spans="1:3" x14ac:dyDescent="0.3">
      <c r="A278" t="e">
        <f>INDEX(resultados!$A$2:$ZZ$956, 272, MATCH($B$1, resultados!$A$1:$ZZ$1, 0))</f>
        <v>#N/A</v>
      </c>
      <c r="B278" t="e">
        <f>INDEX(resultados!$A$2:$ZZ$956, 272, MATCH($B$2, resultados!$A$1:$ZZ$1, 0))</f>
        <v>#N/A</v>
      </c>
      <c r="C278" t="e">
        <f>INDEX(resultados!$A$2:$ZZ$956, 272, MATCH($B$3, resultados!$A$1:$ZZ$1, 0))</f>
        <v>#N/A</v>
      </c>
    </row>
    <row r="279" spans="1:3" x14ac:dyDescent="0.3">
      <c r="A279" t="e">
        <f>INDEX(resultados!$A$2:$ZZ$956, 273, MATCH($B$1, resultados!$A$1:$ZZ$1, 0))</f>
        <v>#N/A</v>
      </c>
      <c r="B279" t="e">
        <f>INDEX(resultados!$A$2:$ZZ$956, 273, MATCH($B$2, resultados!$A$1:$ZZ$1, 0))</f>
        <v>#N/A</v>
      </c>
      <c r="C279" t="e">
        <f>INDEX(resultados!$A$2:$ZZ$956, 273, MATCH($B$3, resultados!$A$1:$ZZ$1, 0))</f>
        <v>#N/A</v>
      </c>
    </row>
    <row r="280" spans="1:3" x14ac:dyDescent="0.3">
      <c r="A280" t="e">
        <f>INDEX(resultados!$A$2:$ZZ$956, 274, MATCH($B$1, resultados!$A$1:$ZZ$1, 0))</f>
        <v>#N/A</v>
      </c>
      <c r="B280" t="e">
        <f>INDEX(resultados!$A$2:$ZZ$956, 274, MATCH($B$2, resultados!$A$1:$ZZ$1, 0))</f>
        <v>#N/A</v>
      </c>
      <c r="C280" t="e">
        <f>INDEX(resultados!$A$2:$ZZ$956, 274, MATCH($B$3, resultados!$A$1:$ZZ$1, 0))</f>
        <v>#N/A</v>
      </c>
    </row>
    <row r="281" spans="1:3" x14ac:dyDescent="0.3">
      <c r="A281" t="e">
        <f>INDEX(resultados!$A$2:$ZZ$956, 275, MATCH($B$1, resultados!$A$1:$ZZ$1, 0))</f>
        <v>#N/A</v>
      </c>
      <c r="B281" t="e">
        <f>INDEX(resultados!$A$2:$ZZ$956, 275, MATCH($B$2, resultados!$A$1:$ZZ$1, 0))</f>
        <v>#N/A</v>
      </c>
      <c r="C281" t="e">
        <f>INDEX(resultados!$A$2:$ZZ$956, 275, MATCH($B$3, resultados!$A$1:$ZZ$1, 0))</f>
        <v>#N/A</v>
      </c>
    </row>
    <row r="282" spans="1:3" x14ac:dyDescent="0.3">
      <c r="A282" t="e">
        <f>INDEX(resultados!$A$2:$ZZ$956, 276, MATCH($B$1, resultados!$A$1:$ZZ$1, 0))</f>
        <v>#N/A</v>
      </c>
      <c r="B282" t="e">
        <f>INDEX(resultados!$A$2:$ZZ$956, 276, MATCH($B$2, resultados!$A$1:$ZZ$1, 0))</f>
        <v>#N/A</v>
      </c>
      <c r="C282" t="e">
        <f>INDEX(resultados!$A$2:$ZZ$956, 276, MATCH($B$3, resultados!$A$1:$ZZ$1, 0))</f>
        <v>#N/A</v>
      </c>
    </row>
    <row r="283" spans="1:3" x14ac:dyDescent="0.3">
      <c r="A283" t="e">
        <f>INDEX(resultados!$A$2:$ZZ$956, 277, MATCH($B$1, resultados!$A$1:$ZZ$1, 0))</f>
        <v>#N/A</v>
      </c>
      <c r="B283" t="e">
        <f>INDEX(resultados!$A$2:$ZZ$956, 277, MATCH($B$2, resultados!$A$1:$ZZ$1, 0))</f>
        <v>#N/A</v>
      </c>
      <c r="C283" t="e">
        <f>INDEX(resultados!$A$2:$ZZ$956, 277, MATCH($B$3, resultados!$A$1:$ZZ$1, 0))</f>
        <v>#N/A</v>
      </c>
    </row>
    <row r="284" spans="1:3" x14ac:dyDescent="0.3">
      <c r="A284" t="e">
        <f>INDEX(resultados!$A$2:$ZZ$956, 278, MATCH($B$1, resultados!$A$1:$ZZ$1, 0))</f>
        <v>#N/A</v>
      </c>
      <c r="B284" t="e">
        <f>INDEX(resultados!$A$2:$ZZ$956, 278, MATCH($B$2, resultados!$A$1:$ZZ$1, 0))</f>
        <v>#N/A</v>
      </c>
      <c r="C284" t="e">
        <f>INDEX(resultados!$A$2:$ZZ$956, 278, MATCH($B$3, resultados!$A$1:$ZZ$1, 0))</f>
        <v>#N/A</v>
      </c>
    </row>
    <row r="285" spans="1:3" x14ac:dyDescent="0.3">
      <c r="A285" t="e">
        <f>INDEX(resultados!$A$2:$ZZ$956, 279, MATCH($B$1, resultados!$A$1:$ZZ$1, 0))</f>
        <v>#N/A</v>
      </c>
      <c r="B285" t="e">
        <f>INDEX(resultados!$A$2:$ZZ$956, 279, MATCH($B$2, resultados!$A$1:$ZZ$1, 0))</f>
        <v>#N/A</v>
      </c>
      <c r="C285" t="e">
        <f>INDEX(resultados!$A$2:$ZZ$956, 279, MATCH($B$3, resultados!$A$1:$ZZ$1, 0))</f>
        <v>#N/A</v>
      </c>
    </row>
    <row r="286" spans="1:3" x14ac:dyDescent="0.3">
      <c r="A286" t="e">
        <f>INDEX(resultados!$A$2:$ZZ$956, 280, MATCH($B$1, resultados!$A$1:$ZZ$1, 0))</f>
        <v>#N/A</v>
      </c>
      <c r="B286" t="e">
        <f>INDEX(resultados!$A$2:$ZZ$956, 280, MATCH($B$2, resultados!$A$1:$ZZ$1, 0))</f>
        <v>#N/A</v>
      </c>
      <c r="C286" t="e">
        <f>INDEX(resultados!$A$2:$ZZ$956, 280, MATCH($B$3, resultados!$A$1:$ZZ$1, 0))</f>
        <v>#N/A</v>
      </c>
    </row>
    <row r="287" spans="1:3" x14ac:dyDescent="0.3">
      <c r="A287" t="e">
        <f>INDEX(resultados!$A$2:$ZZ$956, 281, MATCH($B$1, resultados!$A$1:$ZZ$1, 0))</f>
        <v>#N/A</v>
      </c>
      <c r="B287" t="e">
        <f>INDEX(resultados!$A$2:$ZZ$956, 281, MATCH($B$2, resultados!$A$1:$ZZ$1, 0))</f>
        <v>#N/A</v>
      </c>
      <c r="C287" t="e">
        <f>INDEX(resultados!$A$2:$ZZ$956, 281, MATCH($B$3, resultados!$A$1:$ZZ$1, 0))</f>
        <v>#N/A</v>
      </c>
    </row>
    <row r="288" spans="1:3" x14ac:dyDescent="0.3">
      <c r="A288" t="e">
        <f>INDEX(resultados!$A$2:$ZZ$956, 282, MATCH($B$1, resultados!$A$1:$ZZ$1, 0))</f>
        <v>#N/A</v>
      </c>
      <c r="B288" t="e">
        <f>INDEX(resultados!$A$2:$ZZ$956, 282, MATCH($B$2, resultados!$A$1:$ZZ$1, 0))</f>
        <v>#N/A</v>
      </c>
      <c r="C288" t="e">
        <f>INDEX(resultados!$A$2:$ZZ$956, 282, MATCH($B$3, resultados!$A$1:$ZZ$1, 0))</f>
        <v>#N/A</v>
      </c>
    </row>
    <row r="289" spans="1:3" x14ac:dyDescent="0.3">
      <c r="A289" t="e">
        <f>INDEX(resultados!$A$2:$ZZ$956, 283, MATCH($B$1, resultados!$A$1:$ZZ$1, 0))</f>
        <v>#N/A</v>
      </c>
      <c r="B289" t="e">
        <f>INDEX(resultados!$A$2:$ZZ$956, 283, MATCH($B$2, resultados!$A$1:$ZZ$1, 0))</f>
        <v>#N/A</v>
      </c>
      <c r="C289" t="e">
        <f>INDEX(resultados!$A$2:$ZZ$956, 283, MATCH($B$3, resultados!$A$1:$ZZ$1, 0))</f>
        <v>#N/A</v>
      </c>
    </row>
    <row r="290" spans="1:3" x14ac:dyDescent="0.3">
      <c r="A290" t="e">
        <f>INDEX(resultados!$A$2:$ZZ$956, 284, MATCH($B$1, resultados!$A$1:$ZZ$1, 0))</f>
        <v>#N/A</v>
      </c>
      <c r="B290" t="e">
        <f>INDEX(resultados!$A$2:$ZZ$956, 284, MATCH($B$2, resultados!$A$1:$ZZ$1, 0))</f>
        <v>#N/A</v>
      </c>
      <c r="C290" t="e">
        <f>INDEX(resultados!$A$2:$ZZ$956, 284, MATCH($B$3, resultados!$A$1:$ZZ$1, 0))</f>
        <v>#N/A</v>
      </c>
    </row>
    <row r="291" spans="1:3" x14ac:dyDescent="0.3">
      <c r="A291" t="e">
        <f>INDEX(resultados!$A$2:$ZZ$956, 285, MATCH($B$1, resultados!$A$1:$ZZ$1, 0))</f>
        <v>#N/A</v>
      </c>
      <c r="B291" t="e">
        <f>INDEX(resultados!$A$2:$ZZ$956, 285, MATCH($B$2, resultados!$A$1:$ZZ$1, 0))</f>
        <v>#N/A</v>
      </c>
      <c r="C291" t="e">
        <f>INDEX(resultados!$A$2:$ZZ$956, 285, MATCH($B$3, resultados!$A$1:$ZZ$1, 0))</f>
        <v>#N/A</v>
      </c>
    </row>
    <row r="292" spans="1:3" x14ac:dyDescent="0.3">
      <c r="A292" t="e">
        <f>INDEX(resultados!$A$2:$ZZ$956, 286, MATCH($B$1, resultados!$A$1:$ZZ$1, 0))</f>
        <v>#N/A</v>
      </c>
      <c r="B292" t="e">
        <f>INDEX(resultados!$A$2:$ZZ$956, 286, MATCH($B$2, resultados!$A$1:$ZZ$1, 0))</f>
        <v>#N/A</v>
      </c>
      <c r="C292" t="e">
        <f>INDEX(resultados!$A$2:$ZZ$956, 286, MATCH($B$3, resultados!$A$1:$ZZ$1, 0))</f>
        <v>#N/A</v>
      </c>
    </row>
    <row r="293" spans="1:3" x14ac:dyDescent="0.3">
      <c r="A293" t="e">
        <f>INDEX(resultados!$A$2:$ZZ$956, 287, MATCH($B$1, resultados!$A$1:$ZZ$1, 0))</f>
        <v>#N/A</v>
      </c>
      <c r="B293" t="e">
        <f>INDEX(resultados!$A$2:$ZZ$956, 287, MATCH($B$2, resultados!$A$1:$ZZ$1, 0))</f>
        <v>#N/A</v>
      </c>
      <c r="C293" t="e">
        <f>INDEX(resultados!$A$2:$ZZ$956, 287, MATCH($B$3, resultados!$A$1:$ZZ$1, 0))</f>
        <v>#N/A</v>
      </c>
    </row>
    <row r="294" spans="1:3" x14ac:dyDescent="0.3">
      <c r="A294" t="e">
        <f>INDEX(resultados!$A$2:$ZZ$956, 288, MATCH($B$1, resultados!$A$1:$ZZ$1, 0))</f>
        <v>#N/A</v>
      </c>
      <c r="B294" t="e">
        <f>INDEX(resultados!$A$2:$ZZ$956, 288, MATCH($B$2, resultados!$A$1:$ZZ$1, 0))</f>
        <v>#N/A</v>
      </c>
      <c r="C294" t="e">
        <f>INDEX(resultados!$A$2:$ZZ$956, 288, MATCH($B$3, resultados!$A$1:$ZZ$1, 0))</f>
        <v>#N/A</v>
      </c>
    </row>
    <row r="295" spans="1:3" x14ac:dyDescent="0.3">
      <c r="A295" t="e">
        <f>INDEX(resultados!$A$2:$ZZ$956, 289, MATCH($B$1, resultados!$A$1:$ZZ$1, 0))</f>
        <v>#N/A</v>
      </c>
      <c r="B295" t="e">
        <f>INDEX(resultados!$A$2:$ZZ$956, 289, MATCH($B$2, resultados!$A$1:$ZZ$1, 0))</f>
        <v>#N/A</v>
      </c>
      <c r="C295" t="e">
        <f>INDEX(resultados!$A$2:$ZZ$956, 289, MATCH($B$3, resultados!$A$1:$ZZ$1, 0))</f>
        <v>#N/A</v>
      </c>
    </row>
    <row r="296" spans="1:3" x14ac:dyDescent="0.3">
      <c r="A296" t="e">
        <f>INDEX(resultados!$A$2:$ZZ$956, 290, MATCH($B$1, resultados!$A$1:$ZZ$1, 0))</f>
        <v>#N/A</v>
      </c>
      <c r="B296" t="e">
        <f>INDEX(resultados!$A$2:$ZZ$956, 290, MATCH($B$2, resultados!$A$1:$ZZ$1, 0))</f>
        <v>#N/A</v>
      </c>
      <c r="C296" t="e">
        <f>INDEX(resultados!$A$2:$ZZ$956, 290, MATCH($B$3, resultados!$A$1:$ZZ$1, 0))</f>
        <v>#N/A</v>
      </c>
    </row>
    <row r="297" spans="1:3" x14ac:dyDescent="0.3">
      <c r="A297" t="e">
        <f>INDEX(resultados!$A$2:$ZZ$956, 291, MATCH($B$1, resultados!$A$1:$ZZ$1, 0))</f>
        <v>#N/A</v>
      </c>
      <c r="B297" t="e">
        <f>INDEX(resultados!$A$2:$ZZ$956, 291, MATCH($B$2, resultados!$A$1:$ZZ$1, 0))</f>
        <v>#N/A</v>
      </c>
      <c r="C297" t="e">
        <f>INDEX(resultados!$A$2:$ZZ$956, 291, MATCH($B$3, resultados!$A$1:$ZZ$1, 0))</f>
        <v>#N/A</v>
      </c>
    </row>
    <row r="298" spans="1:3" x14ac:dyDescent="0.3">
      <c r="A298" t="e">
        <f>INDEX(resultados!$A$2:$ZZ$956, 292, MATCH($B$1, resultados!$A$1:$ZZ$1, 0))</f>
        <v>#N/A</v>
      </c>
      <c r="B298" t="e">
        <f>INDEX(resultados!$A$2:$ZZ$956, 292, MATCH($B$2, resultados!$A$1:$ZZ$1, 0))</f>
        <v>#N/A</v>
      </c>
      <c r="C298" t="e">
        <f>INDEX(resultados!$A$2:$ZZ$956, 292, MATCH($B$3, resultados!$A$1:$ZZ$1, 0))</f>
        <v>#N/A</v>
      </c>
    </row>
    <row r="299" spans="1:3" x14ac:dyDescent="0.3">
      <c r="A299" t="e">
        <f>INDEX(resultados!$A$2:$ZZ$956, 293, MATCH($B$1, resultados!$A$1:$ZZ$1, 0))</f>
        <v>#N/A</v>
      </c>
      <c r="B299" t="e">
        <f>INDEX(resultados!$A$2:$ZZ$956, 293, MATCH($B$2, resultados!$A$1:$ZZ$1, 0))</f>
        <v>#N/A</v>
      </c>
      <c r="C299" t="e">
        <f>INDEX(resultados!$A$2:$ZZ$956, 293, MATCH($B$3, resultados!$A$1:$ZZ$1, 0))</f>
        <v>#N/A</v>
      </c>
    </row>
    <row r="300" spans="1:3" x14ac:dyDescent="0.3">
      <c r="A300" t="e">
        <f>INDEX(resultados!$A$2:$ZZ$956, 294, MATCH($B$1, resultados!$A$1:$ZZ$1, 0))</f>
        <v>#N/A</v>
      </c>
      <c r="B300" t="e">
        <f>INDEX(resultados!$A$2:$ZZ$956, 294, MATCH($B$2, resultados!$A$1:$ZZ$1, 0))</f>
        <v>#N/A</v>
      </c>
      <c r="C300" t="e">
        <f>INDEX(resultados!$A$2:$ZZ$956, 294, MATCH($B$3, resultados!$A$1:$ZZ$1, 0))</f>
        <v>#N/A</v>
      </c>
    </row>
    <row r="301" spans="1:3" x14ac:dyDescent="0.3">
      <c r="A301" t="e">
        <f>INDEX(resultados!$A$2:$ZZ$956, 295, MATCH($B$1, resultados!$A$1:$ZZ$1, 0))</f>
        <v>#N/A</v>
      </c>
      <c r="B301" t="e">
        <f>INDEX(resultados!$A$2:$ZZ$956, 295, MATCH($B$2, resultados!$A$1:$ZZ$1, 0))</f>
        <v>#N/A</v>
      </c>
      <c r="C301" t="e">
        <f>INDEX(resultados!$A$2:$ZZ$956, 295, MATCH($B$3, resultados!$A$1:$ZZ$1, 0))</f>
        <v>#N/A</v>
      </c>
    </row>
    <row r="302" spans="1:3" x14ac:dyDescent="0.3">
      <c r="A302" t="e">
        <f>INDEX(resultados!$A$2:$ZZ$956, 296, MATCH($B$1, resultados!$A$1:$ZZ$1, 0))</f>
        <v>#N/A</v>
      </c>
      <c r="B302" t="e">
        <f>INDEX(resultados!$A$2:$ZZ$956, 296, MATCH($B$2, resultados!$A$1:$ZZ$1, 0))</f>
        <v>#N/A</v>
      </c>
      <c r="C302" t="e">
        <f>INDEX(resultados!$A$2:$ZZ$956, 296, MATCH($B$3, resultados!$A$1:$ZZ$1, 0))</f>
        <v>#N/A</v>
      </c>
    </row>
    <row r="303" spans="1:3" x14ac:dyDescent="0.3">
      <c r="A303" t="e">
        <f>INDEX(resultados!$A$2:$ZZ$956, 297, MATCH($B$1, resultados!$A$1:$ZZ$1, 0))</f>
        <v>#N/A</v>
      </c>
      <c r="B303" t="e">
        <f>INDEX(resultados!$A$2:$ZZ$956, 297, MATCH($B$2, resultados!$A$1:$ZZ$1, 0))</f>
        <v>#N/A</v>
      </c>
      <c r="C303" t="e">
        <f>INDEX(resultados!$A$2:$ZZ$956, 297, MATCH($B$3, resultados!$A$1:$ZZ$1, 0))</f>
        <v>#N/A</v>
      </c>
    </row>
    <row r="304" spans="1:3" x14ac:dyDescent="0.3">
      <c r="A304" t="e">
        <f>INDEX(resultados!$A$2:$ZZ$956, 298, MATCH($B$1, resultados!$A$1:$ZZ$1, 0))</f>
        <v>#N/A</v>
      </c>
      <c r="B304" t="e">
        <f>INDEX(resultados!$A$2:$ZZ$956, 298, MATCH($B$2, resultados!$A$1:$ZZ$1, 0))</f>
        <v>#N/A</v>
      </c>
      <c r="C304" t="e">
        <f>INDEX(resultados!$A$2:$ZZ$956, 298, MATCH($B$3, resultados!$A$1:$ZZ$1, 0))</f>
        <v>#N/A</v>
      </c>
    </row>
    <row r="305" spans="1:3" x14ac:dyDescent="0.3">
      <c r="A305" t="e">
        <f>INDEX(resultados!$A$2:$ZZ$956, 299, MATCH($B$1, resultados!$A$1:$ZZ$1, 0))</f>
        <v>#N/A</v>
      </c>
      <c r="B305" t="e">
        <f>INDEX(resultados!$A$2:$ZZ$956, 299, MATCH($B$2, resultados!$A$1:$ZZ$1, 0))</f>
        <v>#N/A</v>
      </c>
      <c r="C305" t="e">
        <f>INDEX(resultados!$A$2:$ZZ$956, 299, MATCH($B$3, resultados!$A$1:$ZZ$1, 0))</f>
        <v>#N/A</v>
      </c>
    </row>
    <row r="306" spans="1:3" x14ac:dyDescent="0.3">
      <c r="A306" t="e">
        <f>INDEX(resultados!$A$2:$ZZ$956, 300, MATCH($B$1, resultados!$A$1:$ZZ$1, 0))</f>
        <v>#N/A</v>
      </c>
      <c r="B306" t="e">
        <f>INDEX(resultados!$A$2:$ZZ$956, 300, MATCH($B$2, resultados!$A$1:$ZZ$1, 0))</f>
        <v>#N/A</v>
      </c>
      <c r="C306" t="e">
        <f>INDEX(resultados!$A$2:$ZZ$956, 300, MATCH($B$3, resultados!$A$1:$ZZ$1, 0))</f>
        <v>#N/A</v>
      </c>
    </row>
    <row r="307" spans="1:3" x14ac:dyDescent="0.3">
      <c r="A307" t="e">
        <f>INDEX(resultados!$A$2:$ZZ$956, 301, MATCH($B$1, resultados!$A$1:$ZZ$1, 0))</f>
        <v>#N/A</v>
      </c>
      <c r="B307" t="e">
        <f>INDEX(resultados!$A$2:$ZZ$956, 301, MATCH($B$2, resultados!$A$1:$ZZ$1, 0))</f>
        <v>#N/A</v>
      </c>
      <c r="C307" t="e">
        <f>INDEX(resultados!$A$2:$ZZ$956, 301, MATCH($B$3, resultados!$A$1:$ZZ$1, 0))</f>
        <v>#N/A</v>
      </c>
    </row>
    <row r="308" spans="1:3" x14ac:dyDescent="0.3">
      <c r="A308" t="e">
        <f>INDEX(resultados!$A$2:$ZZ$956, 302, MATCH($B$1, resultados!$A$1:$ZZ$1, 0))</f>
        <v>#N/A</v>
      </c>
      <c r="B308" t="e">
        <f>INDEX(resultados!$A$2:$ZZ$956, 302, MATCH($B$2, resultados!$A$1:$ZZ$1, 0))</f>
        <v>#N/A</v>
      </c>
      <c r="C308" t="e">
        <f>INDEX(resultados!$A$2:$ZZ$956, 302, MATCH($B$3, resultados!$A$1:$ZZ$1, 0))</f>
        <v>#N/A</v>
      </c>
    </row>
    <row r="309" spans="1:3" x14ac:dyDescent="0.3">
      <c r="A309" t="e">
        <f>INDEX(resultados!$A$2:$ZZ$956, 303, MATCH($B$1, resultados!$A$1:$ZZ$1, 0))</f>
        <v>#N/A</v>
      </c>
      <c r="B309" t="e">
        <f>INDEX(resultados!$A$2:$ZZ$956, 303, MATCH($B$2, resultados!$A$1:$ZZ$1, 0))</f>
        <v>#N/A</v>
      </c>
      <c r="C309" t="e">
        <f>INDEX(resultados!$A$2:$ZZ$956, 303, MATCH($B$3, resultados!$A$1:$ZZ$1, 0))</f>
        <v>#N/A</v>
      </c>
    </row>
    <row r="310" spans="1:3" x14ac:dyDescent="0.3">
      <c r="A310" t="e">
        <f>INDEX(resultados!$A$2:$ZZ$956, 304, MATCH($B$1, resultados!$A$1:$ZZ$1, 0))</f>
        <v>#N/A</v>
      </c>
      <c r="B310" t="e">
        <f>INDEX(resultados!$A$2:$ZZ$956, 304, MATCH($B$2, resultados!$A$1:$ZZ$1, 0))</f>
        <v>#N/A</v>
      </c>
      <c r="C310" t="e">
        <f>INDEX(resultados!$A$2:$ZZ$956, 304, MATCH($B$3, resultados!$A$1:$ZZ$1, 0))</f>
        <v>#N/A</v>
      </c>
    </row>
    <row r="311" spans="1:3" x14ac:dyDescent="0.3">
      <c r="A311" t="e">
        <f>INDEX(resultados!$A$2:$ZZ$956, 305, MATCH($B$1, resultados!$A$1:$ZZ$1, 0))</f>
        <v>#N/A</v>
      </c>
      <c r="B311" t="e">
        <f>INDEX(resultados!$A$2:$ZZ$956, 305, MATCH($B$2, resultados!$A$1:$ZZ$1, 0))</f>
        <v>#N/A</v>
      </c>
      <c r="C311" t="e">
        <f>INDEX(resultados!$A$2:$ZZ$956, 305, MATCH($B$3, resultados!$A$1:$ZZ$1, 0))</f>
        <v>#N/A</v>
      </c>
    </row>
    <row r="312" spans="1:3" x14ac:dyDescent="0.3">
      <c r="A312" t="e">
        <f>INDEX(resultados!$A$2:$ZZ$956, 306, MATCH($B$1, resultados!$A$1:$ZZ$1, 0))</f>
        <v>#N/A</v>
      </c>
      <c r="B312" t="e">
        <f>INDEX(resultados!$A$2:$ZZ$956, 306, MATCH($B$2, resultados!$A$1:$ZZ$1, 0))</f>
        <v>#N/A</v>
      </c>
      <c r="C312" t="e">
        <f>INDEX(resultados!$A$2:$ZZ$956, 306, MATCH($B$3, resultados!$A$1:$ZZ$1, 0))</f>
        <v>#N/A</v>
      </c>
    </row>
    <row r="313" spans="1:3" x14ac:dyDescent="0.3">
      <c r="A313" t="e">
        <f>INDEX(resultados!$A$2:$ZZ$956, 307, MATCH($B$1, resultados!$A$1:$ZZ$1, 0))</f>
        <v>#N/A</v>
      </c>
      <c r="B313" t="e">
        <f>INDEX(resultados!$A$2:$ZZ$956, 307, MATCH($B$2, resultados!$A$1:$ZZ$1, 0))</f>
        <v>#N/A</v>
      </c>
      <c r="C313" t="e">
        <f>INDEX(resultados!$A$2:$ZZ$956, 307, MATCH($B$3, resultados!$A$1:$ZZ$1, 0))</f>
        <v>#N/A</v>
      </c>
    </row>
    <row r="314" spans="1:3" x14ac:dyDescent="0.3">
      <c r="A314" t="e">
        <f>INDEX(resultados!$A$2:$ZZ$956, 308, MATCH($B$1, resultados!$A$1:$ZZ$1, 0))</f>
        <v>#N/A</v>
      </c>
      <c r="B314" t="e">
        <f>INDEX(resultados!$A$2:$ZZ$956, 308, MATCH($B$2, resultados!$A$1:$ZZ$1, 0))</f>
        <v>#N/A</v>
      </c>
      <c r="C314" t="e">
        <f>INDEX(resultados!$A$2:$ZZ$956, 308, MATCH($B$3, resultados!$A$1:$ZZ$1, 0))</f>
        <v>#N/A</v>
      </c>
    </row>
    <row r="315" spans="1:3" x14ac:dyDescent="0.3">
      <c r="A315" t="e">
        <f>INDEX(resultados!$A$2:$ZZ$956, 309, MATCH($B$1, resultados!$A$1:$ZZ$1, 0))</f>
        <v>#N/A</v>
      </c>
      <c r="B315" t="e">
        <f>INDEX(resultados!$A$2:$ZZ$956, 309, MATCH($B$2, resultados!$A$1:$ZZ$1, 0))</f>
        <v>#N/A</v>
      </c>
      <c r="C315" t="e">
        <f>INDEX(resultados!$A$2:$ZZ$956, 309, MATCH($B$3, resultados!$A$1:$ZZ$1, 0))</f>
        <v>#N/A</v>
      </c>
    </row>
    <row r="316" spans="1:3" x14ac:dyDescent="0.3">
      <c r="A316" t="e">
        <f>INDEX(resultados!$A$2:$ZZ$956, 310, MATCH($B$1, resultados!$A$1:$ZZ$1, 0))</f>
        <v>#N/A</v>
      </c>
      <c r="B316" t="e">
        <f>INDEX(resultados!$A$2:$ZZ$956, 310, MATCH($B$2, resultados!$A$1:$ZZ$1, 0))</f>
        <v>#N/A</v>
      </c>
      <c r="C316" t="e">
        <f>INDEX(resultados!$A$2:$ZZ$956, 310, MATCH($B$3, resultados!$A$1:$ZZ$1, 0))</f>
        <v>#N/A</v>
      </c>
    </row>
    <row r="317" spans="1:3" x14ac:dyDescent="0.3">
      <c r="A317" t="e">
        <f>INDEX(resultados!$A$2:$ZZ$956, 311, MATCH($B$1, resultados!$A$1:$ZZ$1, 0))</f>
        <v>#N/A</v>
      </c>
      <c r="B317" t="e">
        <f>INDEX(resultados!$A$2:$ZZ$956, 311, MATCH($B$2, resultados!$A$1:$ZZ$1, 0))</f>
        <v>#N/A</v>
      </c>
      <c r="C317" t="e">
        <f>INDEX(resultados!$A$2:$ZZ$956, 311, MATCH($B$3, resultados!$A$1:$ZZ$1, 0))</f>
        <v>#N/A</v>
      </c>
    </row>
    <row r="318" spans="1:3" x14ac:dyDescent="0.3">
      <c r="A318" t="e">
        <f>INDEX(resultados!$A$2:$ZZ$956, 312, MATCH($B$1, resultados!$A$1:$ZZ$1, 0))</f>
        <v>#N/A</v>
      </c>
      <c r="B318" t="e">
        <f>INDEX(resultados!$A$2:$ZZ$956, 312, MATCH($B$2, resultados!$A$1:$ZZ$1, 0))</f>
        <v>#N/A</v>
      </c>
      <c r="C318" t="e">
        <f>INDEX(resultados!$A$2:$ZZ$956, 312, MATCH($B$3, resultados!$A$1:$ZZ$1, 0))</f>
        <v>#N/A</v>
      </c>
    </row>
    <row r="319" spans="1:3" x14ac:dyDescent="0.3">
      <c r="A319" t="e">
        <f>INDEX(resultados!$A$2:$ZZ$956, 313, MATCH($B$1, resultados!$A$1:$ZZ$1, 0))</f>
        <v>#N/A</v>
      </c>
      <c r="B319" t="e">
        <f>INDEX(resultados!$A$2:$ZZ$956, 313, MATCH($B$2, resultados!$A$1:$ZZ$1, 0))</f>
        <v>#N/A</v>
      </c>
      <c r="C319" t="e">
        <f>INDEX(resultados!$A$2:$ZZ$956, 313, MATCH($B$3, resultados!$A$1:$ZZ$1, 0))</f>
        <v>#N/A</v>
      </c>
    </row>
    <row r="320" spans="1:3" x14ac:dyDescent="0.3">
      <c r="A320" t="e">
        <f>INDEX(resultados!$A$2:$ZZ$956, 314, MATCH($B$1, resultados!$A$1:$ZZ$1, 0))</f>
        <v>#N/A</v>
      </c>
      <c r="B320" t="e">
        <f>INDEX(resultados!$A$2:$ZZ$956, 314, MATCH($B$2, resultados!$A$1:$ZZ$1, 0))</f>
        <v>#N/A</v>
      </c>
      <c r="C320" t="e">
        <f>INDEX(resultados!$A$2:$ZZ$956, 314, MATCH($B$3, resultados!$A$1:$ZZ$1, 0))</f>
        <v>#N/A</v>
      </c>
    </row>
    <row r="321" spans="1:3" x14ac:dyDescent="0.3">
      <c r="A321" t="e">
        <f>INDEX(resultados!$A$2:$ZZ$956, 315, MATCH($B$1, resultados!$A$1:$ZZ$1, 0))</f>
        <v>#N/A</v>
      </c>
      <c r="B321" t="e">
        <f>INDEX(resultados!$A$2:$ZZ$956, 315, MATCH($B$2, resultados!$A$1:$ZZ$1, 0))</f>
        <v>#N/A</v>
      </c>
      <c r="C321" t="e">
        <f>INDEX(resultados!$A$2:$ZZ$956, 315, MATCH($B$3, resultados!$A$1:$ZZ$1, 0))</f>
        <v>#N/A</v>
      </c>
    </row>
    <row r="322" spans="1:3" x14ac:dyDescent="0.3">
      <c r="A322" t="e">
        <f>INDEX(resultados!$A$2:$ZZ$956, 316, MATCH($B$1, resultados!$A$1:$ZZ$1, 0))</f>
        <v>#N/A</v>
      </c>
      <c r="B322" t="e">
        <f>INDEX(resultados!$A$2:$ZZ$956, 316, MATCH($B$2, resultados!$A$1:$ZZ$1, 0))</f>
        <v>#N/A</v>
      </c>
      <c r="C322" t="e">
        <f>INDEX(resultados!$A$2:$ZZ$956, 316, MATCH($B$3, resultados!$A$1:$ZZ$1, 0))</f>
        <v>#N/A</v>
      </c>
    </row>
    <row r="323" spans="1:3" x14ac:dyDescent="0.3">
      <c r="A323" t="e">
        <f>INDEX(resultados!$A$2:$ZZ$956, 317, MATCH($B$1, resultados!$A$1:$ZZ$1, 0))</f>
        <v>#N/A</v>
      </c>
      <c r="B323" t="e">
        <f>INDEX(resultados!$A$2:$ZZ$956, 317, MATCH($B$2, resultados!$A$1:$ZZ$1, 0))</f>
        <v>#N/A</v>
      </c>
      <c r="C323" t="e">
        <f>INDEX(resultados!$A$2:$ZZ$956, 317, MATCH($B$3, resultados!$A$1:$ZZ$1, 0))</f>
        <v>#N/A</v>
      </c>
    </row>
    <row r="324" spans="1:3" x14ac:dyDescent="0.3">
      <c r="A324" t="e">
        <f>INDEX(resultados!$A$2:$ZZ$956, 318, MATCH($B$1, resultados!$A$1:$ZZ$1, 0))</f>
        <v>#N/A</v>
      </c>
      <c r="B324" t="e">
        <f>INDEX(resultados!$A$2:$ZZ$956, 318, MATCH($B$2, resultados!$A$1:$ZZ$1, 0))</f>
        <v>#N/A</v>
      </c>
      <c r="C324" t="e">
        <f>INDEX(resultados!$A$2:$ZZ$956, 318, MATCH($B$3, resultados!$A$1:$ZZ$1, 0))</f>
        <v>#N/A</v>
      </c>
    </row>
    <row r="325" spans="1:3" x14ac:dyDescent="0.3">
      <c r="A325" t="e">
        <f>INDEX(resultados!$A$2:$ZZ$956, 319, MATCH($B$1, resultados!$A$1:$ZZ$1, 0))</f>
        <v>#N/A</v>
      </c>
      <c r="B325" t="e">
        <f>INDEX(resultados!$A$2:$ZZ$956, 319, MATCH($B$2, resultados!$A$1:$ZZ$1, 0))</f>
        <v>#N/A</v>
      </c>
      <c r="C325" t="e">
        <f>INDEX(resultados!$A$2:$ZZ$956, 319, MATCH($B$3, resultados!$A$1:$ZZ$1, 0))</f>
        <v>#N/A</v>
      </c>
    </row>
    <row r="326" spans="1:3" x14ac:dyDescent="0.3">
      <c r="A326" t="e">
        <f>INDEX(resultados!$A$2:$ZZ$956, 320, MATCH($B$1, resultados!$A$1:$ZZ$1, 0))</f>
        <v>#N/A</v>
      </c>
      <c r="B326" t="e">
        <f>INDEX(resultados!$A$2:$ZZ$956, 320, MATCH($B$2, resultados!$A$1:$ZZ$1, 0))</f>
        <v>#N/A</v>
      </c>
      <c r="C326" t="e">
        <f>INDEX(resultados!$A$2:$ZZ$956, 320, MATCH($B$3, resultados!$A$1:$ZZ$1, 0))</f>
        <v>#N/A</v>
      </c>
    </row>
    <row r="327" spans="1:3" x14ac:dyDescent="0.3">
      <c r="A327" t="e">
        <f>INDEX(resultados!$A$2:$ZZ$956, 321, MATCH($B$1, resultados!$A$1:$ZZ$1, 0))</f>
        <v>#N/A</v>
      </c>
      <c r="B327" t="e">
        <f>INDEX(resultados!$A$2:$ZZ$956, 321, MATCH($B$2, resultados!$A$1:$ZZ$1, 0))</f>
        <v>#N/A</v>
      </c>
      <c r="C327" t="e">
        <f>INDEX(resultados!$A$2:$ZZ$956, 321, MATCH($B$3, resultados!$A$1:$ZZ$1, 0))</f>
        <v>#N/A</v>
      </c>
    </row>
    <row r="328" spans="1:3" x14ac:dyDescent="0.3">
      <c r="A328" t="e">
        <f>INDEX(resultados!$A$2:$ZZ$956, 322, MATCH($B$1, resultados!$A$1:$ZZ$1, 0))</f>
        <v>#N/A</v>
      </c>
      <c r="B328" t="e">
        <f>INDEX(resultados!$A$2:$ZZ$956, 322, MATCH($B$2, resultados!$A$1:$ZZ$1, 0))</f>
        <v>#N/A</v>
      </c>
      <c r="C328" t="e">
        <f>INDEX(resultados!$A$2:$ZZ$956, 322, MATCH($B$3, resultados!$A$1:$ZZ$1, 0))</f>
        <v>#N/A</v>
      </c>
    </row>
    <row r="329" spans="1:3" x14ac:dyDescent="0.3">
      <c r="A329" t="e">
        <f>INDEX(resultados!$A$2:$ZZ$956, 323, MATCH($B$1, resultados!$A$1:$ZZ$1, 0))</f>
        <v>#N/A</v>
      </c>
      <c r="B329" t="e">
        <f>INDEX(resultados!$A$2:$ZZ$956, 323, MATCH($B$2, resultados!$A$1:$ZZ$1, 0))</f>
        <v>#N/A</v>
      </c>
      <c r="C329" t="e">
        <f>INDEX(resultados!$A$2:$ZZ$956, 323, MATCH($B$3, resultados!$A$1:$ZZ$1, 0))</f>
        <v>#N/A</v>
      </c>
    </row>
    <row r="330" spans="1:3" x14ac:dyDescent="0.3">
      <c r="A330" t="e">
        <f>INDEX(resultados!$A$2:$ZZ$956, 324, MATCH($B$1, resultados!$A$1:$ZZ$1, 0))</f>
        <v>#N/A</v>
      </c>
      <c r="B330" t="e">
        <f>INDEX(resultados!$A$2:$ZZ$956, 324, MATCH($B$2, resultados!$A$1:$ZZ$1, 0))</f>
        <v>#N/A</v>
      </c>
      <c r="C330" t="e">
        <f>INDEX(resultados!$A$2:$ZZ$956, 324, MATCH($B$3, resultados!$A$1:$ZZ$1, 0))</f>
        <v>#N/A</v>
      </c>
    </row>
    <row r="331" spans="1:3" x14ac:dyDescent="0.3">
      <c r="A331" t="e">
        <f>INDEX(resultados!$A$2:$ZZ$956, 325, MATCH($B$1, resultados!$A$1:$ZZ$1, 0))</f>
        <v>#N/A</v>
      </c>
      <c r="B331" t="e">
        <f>INDEX(resultados!$A$2:$ZZ$956, 325, MATCH($B$2, resultados!$A$1:$ZZ$1, 0))</f>
        <v>#N/A</v>
      </c>
      <c r="C331" t="e">
        <f>INDEX(resultados!$A$2:$ZZ$956, 325, MATCH($B$3, resultados!$A$1:$ZZ$1, 0))</f>
        <v>#N/A</v>
      </c>
    </row>
    <row r="332" spans="1:3" x14ac:dyDescent="0.3">
      <c r="A332" t="e">
        <f>INDEX(resultados!$A$2:$ZZ$956, 326, MATCH($B$1, resultados!$A$1:$ZZ$1, 0))</f>
        <v>#N/A</v>
      </c>
      <c r="B332" t="e">
        <f>INDEX(resultados!$A$2:$ZZ$956, 326, MATCH($B$2, resultados!$A$1:$ZZ$1, 0))</f>
        <v>#N/A</v>
      </c>
      <c r="C332" t="e">
        <f>INDEX(resultados!$A$2:$ZZ$956, 326, MATCH($B$3, resultados!$A$1:$ZZ$1, 0))</f>
        <v>#N/A</v>
      </c>
    </row>
    <row r="333" spans="1:3" x14ac:dyDescent="0.3">
      <c r="A333" t="e">
        <f>INDEX(resultados!$A$2:$ZZ$956, 327, MATCH($B$1, resultados!$A$1:$ZZ$1, 0))</f>
        <v>#N/A</v>
      </c>
      <c r="B333" t="e">
        <f>INDEX(resultados!$A$2:$ZZ$956, 327, MATCH($B$2, resultados!$A$1:$ZZ$1, 0))</f>
        <v>#N/A</v>
      </c>
      <c r="C333" t="e">
        <f>INDEX(resultados!$A$2:$ZZ$956, 327, MATCH($B$3, resultados!$A$1:$ZZ$1, 0))</f>
        <v>#N/A</v>
      </c>
    </row>
    <row r="334" spans="1:3" x14ac:dyDescent="0.3">
      <c r="A334" t="e">
        <f>INDEX(resultados!$A$2:$ZZ$956, 328, MATCH($B$1, resultados!$A$1:$ZZ$1, 0))</f>
        <v>#N/A</v>
      </c>
      <c r="B334" t="e">
        <f>INDEX(resultados!$A$2:$ZZ$956, 328, MATCH($B$2, resultados!$A$1:$ZZ$1, 0))</f>
        <v>#N/A</v>
      </c>
      <c r="C334" t="e">
        <f>INDEX(resultados!$A$2:$ZZ$956, 328, MATCH($B$3, resultados!$A$1:$ZZ$1, 0))</f>
        <v>#N/A</v>
      </c>
    </row>
    <row r="335" spans="1:3" x14ac:dyDescent="0.3">
      <c r="A335" t="e">
        <f>INDEX(resultados!$A$2:$ZZ$956, 329, MATCH($B$1, resultados!$A$1:$ZZ$1, 0))</f>
        <v>#N/A</v>
      </c>
      <c r="B335" t="e">
        <f>INDEX(resultados!$A$2:$ZZ$956, 329, MATCH($B$2, resultados!$A$1:$ZZ$1, 0))</f>
        <v>#N/A</v>
      </c>
      <c r="C335" t="e">
        <f>INDEX(resultados!$A$2:$ZZ$956, 329, MATCH($B$3, resultados!$A$1:$ZZ$1, 0))</f>
        <v>#N/A</v>
      </c>
    </row>
    <row r="336" spans="1:3" x14ac:dyDescent="0.3">
      <c r="A336" t="e">
        <f>INDEX(resultados!$A$2:$ZZ$956, 330, MATCH($B$1, resultados!$A$1:$ZZ$1, 0))</f>
        <v>#N/A</v>
      </c>
      <c r="B336" t="e">
        <f>INDEX(resultados!$A$2:$ZZ$956, 330, MATCH($B$2, resultados!$A$1:$ZZ$1, 0))</f>
        <v>#N/A</v>
      </c>
      <c r="C336" t="e">
        <f>INDEX(resultados!$A$2:$ZZ$956, 330, MATCH($B$3, resultados!$A$1:$ZZ$1, 0))</f>
        <v>#N/A</v>
      </c>
    </row>
    <row r="337" spans="1:3" x14ac:dyDescent="0.3">
      <c r="A337" t="e">
        <f>INDEX(resultados!$A$2:$ZZ$956, 331, MATCH($B$1, resultados!$A$1:$ZZ$1, 0))</f>
        <v>#N/A</v>
      </c>
      <c r="B337" t="e">
        <f>INDEX(resultados!$A$2:$ZZ$956, 331, MATCH($B$2, resultados!$A$1:$ZZ$1, 0))</f>
        <v>#N/A</v>
      </c>
      <c r="C337" t="e">
        <f>INDEX(resultados!$A$2:$ZZ$956, 331, MATCH($B$3, resultados!$A$1:$ZZ$1, 0))</f>
        <v>#N/A</v>
      </c>
    </row>
    <row r="338" spans="1:3" x14ac:dyDescent="0.3">
      <c r="A338" t="e">
        <f>INDEX(resultados!$A$2:$ZZ$956, 332, MATCH($B$1, resultados!$A$1:$ZZ$1, 0))</f>
        <v>#N/A</v>
      </c>
      <c r="B338" t="e">
        <f>INDEX(resultados!$A$2:$ZZ$956, 332, MATCH($B$2, resultados!$A$1:$ZZ$1, 0))</f>
        <v>#N/A</v>
      </c>
      <c r="C338" t="e">
        <f>INDEX(resultados!$A$2:$ZZ$956, 332, MATCH($B$3, resultados!$A$1:$ZZ$1, 0))</f>
        <v>#N/A</v>
      </c>
    </row>
    <row r="339" spans="1:3" x14ac:dyDescent="0.3">
      <c r="A339" t="e">
        <f>INDEX(resultados!$A$2:$ZZ$956, 333, MATCH($B$1, resultados!$A$1:$ZZ$1, 0))</f>
        <v>#N/A</v>
      </c>
      <c r="B339" t="e">
        <f>INDEX(resultados!$A$2:$ZZ$956, 333, MATCH($B$2, resultados!$A$1:$ZZ$1, 0))</f>
        <v>#N/A</v>
      </c>
      <c r="C339" t="e">
        <f>INDEX(resultados!$A$2:$ZZ$956, 333, MATCH($B$3, resultados!$A$1:$ZZ$1, 0))</f>
        <v>#N/A</v>
      </c>
    </row>
    <row r="340" spans="1:3" x14ac:dyDescent="0.3">
      <c r="A340" t="e">
        <f>INDEX(resultados!$A$2:$ZZ$956, 334, MATCH($B$1, resultados!$A$1:$ZZ$1, 0))</f>
        <v>#N/A</v>
      </c>
      <c r="B340" t="e">
        <f>INDEX(resultados!$A$2:$ZZ$956, 334, MATCH($B$2, resultados!$A$1:$ZZ$1, 0))</f>
        <v>#N/A</v>
      </c>
      <c r="C340" t="e">
        <f>INDEX(resultados!$A$2:$ZZ$956, 334, MATCH($B$3, resultados!$A$1:$ZZ$1, 0))</f>
        <v>#N/A</v>
      </c>
    </row>
    <row r="341" spans="1:3" x14ac:dyDescent="0.3">
      <c r="A341" t="e">
        <f>INDEX(resultados!$A$2:$ZZ$956, 335, MATCH($B$1, resultados!$A$1:$ZZ$1, 0))</f>
        <v>#N/A</v>
      </c>
      <c r="B341" t="e">
        <f>INDEX(resultados!$A$2:$ZZ$956, 335, MATCH($B$2, resultados!$A$1:$ZZ$1, 0))</f>
        <v>#N/A</v>
      </c>
      <c r="C341" t="e">
        <f>INDEX(resultados!$A$2:$ZZ$956, 335, MATCH($B$3, resultados!$A$1:$ZZ$1, 0))</f>
        <v>#N/A</v>
      </c>
    </row>
    <row r="342" spans="1:3" x14ac:dyDescent="0.3">
      <c r="A342" t="e">
        <f>INDEX(resultados!$A$2:$ZZ$956, 336, MATCH($B$1, resultados!$A$1:$ZZ$1, 0))</f>
        <v>#N/A</v>
      </c>
      <c r="B342" t="e">
        <f>INDEX(resultados!$A$2:$ZZ$956, 336, MATCH($B$2, resultados!$A$1:$ZZ$1, 0))</f>
        <v>#N/A</v>
      </c>
      <c r="C342" t="e">
        <f>INDEX(resultados!$A$2:$ZZ$956, 336, MATCH($B$3, resultados!$A$1:$ZZ$1, 0))</f>
        <v>#N/A</v>
      </c>
    </row>
    <row r="343" spans="1:3" x14ac:dyDescent="0.3">
      <c r="A343" t="e">
        <f>INDEX(resultados!$A$2:$ZZ$956, 337, MATCH($B$1, resultados!$A$1:$ZZ$1, 0))</f>
        <v>#N/A</v>
      </c>
      <c r="B343" t="e">
        <f>INDEX(resultados!$A$2:$ZZ$956, 337, MATCH($B$2, resultados!$A$1:$ZZ$1, 0))</f>
        <v>#N/A</v>
      </c>
      <c r="C343" t="e">
        <f>INDEX(resultados!$A$2:$ZZ$956, 337, MATCH($B$3, resultados!$A$1:$ZZ$1, 0))</f>
        <v>#N/A</v>
      </c>
    </row>
    <row r="344" spans="1:3" x14ac:dyDescent="0.3">
      <c r="A344" t="e">
        <f>INDEX(resultados!$A$2:$ZZ$956, 338, MATCH($B$1, resultados!$A$1:$ZZ$1, 0))</f>
        <v>#N/A</v>
      </c>
      <c r="B344" t="e">
        <f>INDEX(resultados!$A$2:$ZZ$956, 338, MATCH($B$2, resultados!$A$1:$ZZ$1, 0))</f>
        <v>#N/A</v>
      </c>
      <c r="C344" t="e">
        <f>INDEX(resultados!$A$2:$ZZ$956, 338, MATCH($B$3, resultados!$A$1:$ZZ$1, 0))</f>
        <v>#N/A</v>
      </c>
    </row>
    <row r="345" spans="1:3" x14ac:dyDescent="0.3">
      <c r="A345" t="e">
        <f>INDEX(resultados!$A$2:$ZZ$956, 339, MATCH($B$1, resultados!$A$1:$ZZ$1, 0))</f>
        <v>#N/A</v>
      </c>
      <c r="B345" t="e">
        <f>INDEX(resultados!$A$2:$ZZ$956, 339, MATCH($B$2, resultados!$A$1:$ZZ$1, 0))</f>
        <v>#N/A</v>
      </c>
      <c r="C345" t="e">
        <f>INDEX(resultados!$A$2:$ZZ$956, 339, MATCH($B$3, resultados!$A$1:$ZZ$1, 0))</f>
        <v>#N/A</v>
      </c>
    </row>
    <row r="346" spans="1:3" x14ac:dyDescent="0.3">
      <c r="A346" t="e">
        <f>INDEX(resultados!$A$2:$ZZ$956, 340, MATCH($B$1, resultados!$A$1:$ZZ$1, 0))</f>
        <v>#N/A</v>
      </c>
      <c r="B346" t="e">
        <f>INDEX(resultados!$A$2:$ZZ$956, 340, MATCH($B$2, resultados!$A$1:$ZZ$1, 0))</f>
        <v>#N/A</v>
      </c>
      <c r="C346" t="e">
        <f>INDEX(resultados!$A$2:$ZZ$956, 340, MATCH($B$3, resultados!$A$1:$ZZ$1, 0))</f>
        <v>#N/A</v>
      </c>
    </row>
    <row r="347" spans="1:3" x14ac:dyDescent="0.3">
      <c r="A347" t="e">
        <f>INDEX(resultados!$A$2:$ZZ$956, 341, MATCH($B$1, resultados!$A$1:$ZZ$1, 0))</f>
        <v>#N/A</v>
      </c>
      <c r="B347" t="e">
        <f>INDEX(resultados!$A$2:$ZZ$956, 341, MATCH($B$2, resultados!$A$1:$ZZ$1, 0))</f>
        <v>#N/A</v>
      </c>
      <c r="C347" t="e">
        <f>INDEX(resultados!$A$2:$ZZ$956, 341, MATCH($B$3, resultados!$A$1:$ZZ$1, 0))</f>
        <v>#N/A</v>
      </c>
    </row>
    <row r="348" spans="1:3" x14ac:dyDescent="0.3">
      <c r="A348" t="e">
        <f>INDEX(resultados!$A$2:$ZZ$956, 342, MATCH($B$1, resultados!$A$1:$ZZ$1, 0))</f>
        <v>#N/A</v>
      </c>
      <c r="B348" t="e">
        <f>INDEX(resultados!$A$2:$ZZ$956, 342, MATCH($B$2, resultados!$A$1:$ZZ$1, 0))</f>
        <v>#N/A</v>
      </c>
      <c r="C348" t="e">
        <f>INDEX(resultados!$A$2:$ZZ$956, 342, MATCH($B$3, resultados!$A$1:$ZZ$1, 0))</f>
        <v>#N/A</v>
      </c>
    </row>
    <row r="349" spans="1:3" x14ac:dyDescent="0.3">
      <c r="A349" t="e">
        <f>INDEX(resultados!$A$2:$ZZ$956, 343, MATCH($B$1, resultados!$A$1:$ZZ$1, 0))</f>
        <v>#N/A</v>
      </c>
      <c r="B349" t="e">
        <f>INDEX(resultados!$A$2:$ZZ$956, 343, MATCH($B$2, resultados!$A$1:$ZZ$1, 0))</f>
        <v>#N/A</v>
      </c>
      <c r="C349" t="e">
        <f>INDEX(resultados!$A$2:$ZZ$956, 343, MATCH($B$3, resultados!$A$1:$ZZ$1, 0))</f>
        <v>#N/A</v>
      </c>
    </row>
    <row r="350" spans="1:3" x14ac:dyDescent="0.3">
      <c r="A350" t="e">
        <f>INDEX(resultados!$A$2:$ZZ$956, 344, MATCH($B$1, resultados!$A$1:$ZZ$1, 0))</f>
        <v>#N/A</v>
      </c>
      <c r="B350" t="e">
        <f>INDEX(resultados!$A$2:$ZZ$956, 344, MATCH($B$2, resultados!$A$1:$ZZ$1, 0))</f>
        <v>#N/A</v>
      </c>
      <c r="C350" t="e">
        <f>INDEX(resultados!$A$2:$ZZ$956, 344, MATCH($B$3, resultados!$A$1:$ZZ$1, 0))</f>
        <v>#N/A</v>
      </c>
    </row>
    <row r="351" spans="1:3" x14ac:dyDescent="0.3">
      <c r="A351" t="e">
        <f>INDEX(resultados!$A$2:$ZZ$956, 345, MATCH($B$1, resultados!$A$1:$ZZ$1, 0))</f>
        <v>#N/A</v>
      </c>
      <c r="B351" t="e">
        <f>INDEX(resultados!$A$2:$ZZ$956, 345, MATCH($B$2, resultados!$A$1:$ZZ$1, 0))</f>
        <v>#N/A</v>
      </c>
      <c r="C351" t="e">
        <f>INDEX(resultados!$A$2:$ZZ$956, 345, MATCH($B$3, resultados!$A$1:$ZZ$1, 0))</f>
        <v>#N/A</v>
      </c>
    </row>
    <row r="352" spans="1:3" x14ac:dyDescent="0.3">
      <c r="A352" t="e">
        <f>INDEX(resultados!$A$2:$ZZ$956, 346, MATCH($B$1, resultados!$A$1:$ZZ$1, 0))</f>
        <v>#N/A</v>
      </c>
      <c r="B352" t="e">
        <f>INDEX(resultados!$A$2:$ZZ$956, 346, MATCH($B$2, resultados!$A$1:$ZZ$1, 0))</f>
        <v>#N/A</v>
      </c>
      <c r="C352" t="e">
        <f>INDEX(resultados!$A$2:$ZZ$956, 346, MATCH($B$3, resultados!$A$1:$ZZ$1, 0))</f>
        <v>#N/A</v>
      </c>
    </row>
    <row r="353" spans="1:3" x14ac:dyDescent="0.3">
      <c r="A353" t="e">
        <f>INDEX(resultados!$A$2:$ZZ$956, 347, MATCH($B$1, resultados!$A$1:$ZZ$1, 0))</f>
        <v>#N/A</v>
      </c>
      <c r="B353" t="e">
        <f>INDEX(resultados!$A$2:$ZZ$956, 347, MATCH($B$2, resultados!$A$1:$ZZ$1, 0))</f>
        <v>#N/A</v>
      </c>
      <c r="C353" t="e">
        <f>INDEX(resultados!$A$2:$ZZ$956, 347, MATCH($B$3, resultados!$A$1:$ZZ$1, 0))</f>
        <v>#N/A</v>
      </c>
    </row>
    <row r="354" spans="1:3" x14ac:dyDescent="0.3">
      <c r="A354" t="e">
        <f>INDEX(resultados!$A$2:$ZZ$956, 348, MATCH($B$1, resultados!$A$1:$ZZ$1, 0))</f>
        <v>#N/A</v>
      </c>
      <c r="B354" t="e">
        <f>INDEX(resultados!$A$2:$ZZ$956, 348, MATCH($B$2, resultados!$A$1:$ZZ$1, 0))</f>
        <v>#N/A</v>
      </c>
      <c r="C354" t="e">
        <f>INDEX(resultados!$A$2:$ZZ$956, 348, MATCH($B$3, resultados!$A$1:$ZZ$1, 0))</f>
        <v>#N/A</v>
      </c>
    </row>
    <row r="355" spans="1:3" x14ac:dyDescent="0.3">
      <c r="A355" t="e">
        <f>INDEX(resultados!$A$2:$ZZ$956, 349, MATCH($B$1, resultados!$A$1:$ZZ$1, 0))</f>
        <v>#N/A</v>
      </c>
      <c r="B355" t="e">
        <f>INDEX(resultados!$A$2:$ZZ$956, 349, MATCH($B$2, resultados!$A$1:$ZZ$1, 0))</f>
        <v>#N/A</v>
      </c>
      <c r="C355" t="e">
        <f>INDEX(resultados!$A$2:$ZZ$956, 349, MATCH($B$3, resultados!$A$1:$ZZ$1, 0))</f>
        <v>#N/A</v>
      </c>
    </row>
    <row r="356" spans="1:3" x14ac:dyDescent="0.3">
      <c r="A356" t="e">
        <f>INDEX(resultados!$A$2:$ZZ$956, 350, MATCH($B$1, resultados!$A$1:$ZZ$1, 0))</f>
        <v>#N/A</v>
      </c>
      <c r="B356" t="e">
        <f>INDEX(resultados!$A$2:$ZZ$956, 350, MATCH($B$2, resultados!$A$1:$ZZ$1, 0))</f>
        <v>#N/A</v>
      </c>
      <c r="C356" t="e">
        <f>INDEX(resultados!$A$2:$ZZ$956, 350, MATCH($B$3, resultados!$A$1:$ZZ$1, 0))</f>
        <v>#N/A</v>
      </c>
    </row>
    <row r="357" spans="1:3" x14ac:dyDescent="0.3">
      <c r="A357" t="e">
        <f>INDEX(resultados!$A$2:$ZZ$956, 351, MATCH($B$1, resultados!$A$1:$ZZ$1, 0))</f>
        <v>#N/A</v>
      </c>
      <c r="B357" t="e">
        <f>INDEX(resultados!$A$2:$ZZ$956, 351, MATCH($B$2, resultados!$A$1:$ZZ$1, 0))</f>
        <v>#N/A</v>
      </c>
      <c r="C357" t="e">
        <f>INDEX(resultados!$A$2:$ZZ$956, 351, MATCH($B$3, resultados!$A$1:$ZZ$1, 0))</f>
        <v>#N/A</v>
      </c>
    </row>
    <row r="358" spans="1:3" x14ac:dyDescent="0.3">
      <c r="A358" t="e">
        <f>INDEX(resultados!$A$2:$ZZ$956, 352, MATCH($B$1, resultados!$A$1:$ZZ$1, 0))</f>
        <v>#N/A</v>
      </c>
      <c r="B358" t="e">
        <f>INDEX(resultados!$A$2:$ZZ$956, 352, MATCH($B$2, resultados!$A$1:$ZZ$1, 0))</f>
        <v>#N/A</v>
      </c>
      <c r="C358" t="e">
        <f>INDEX(resultados!$A$2:$ZZ$956, 352, MATCH($B$3, resultados!$A$1:$ZZ$1, 0))</f>
        <v>#N/A</v>
      </c>
    </row>
    <row r="359" spans="1:3" x14ac:dyDescent="0.3">
      <c r="A359" t="e">
        <f>INDEX(resultados!$A$2:$ZZ$956, 353, MATCH($B$1, resultados!$A$1:$ZZ$1, 0))</f>
        <v>#N/A</v>
      </c>
      <c r="B359" t="e">
        <f>INDEX(resultados!$A$2:$ZZ$956, 353, MATCH($B$2, resultados!$A$1:$ZZ$1, 0))</f>
        <v>#N/A</v>
      </c>
      <c r="C359" t="e">
        <f>INDEX(resultados!$A$2:$ZZ$956, 353, MATCH($B$3, resultados!$A$1:$ZZ$1, 0))</f>
        <v>#N/A</v>
      </c>
    </row>
    <row r="360" spans="1:3" x14ac:dyDescent="0.3">
      <c r="A360" t="e">
        <f>INDEX(resultados!$A$2:$ZZ$956, 354, MATCH($B$1, resultados!$A$1:$ZZ$1, 0))</f>
        <v>#N/A</v>
      </c>
      <c r="B360" t="e">
        <f>INDEX(resultados!$A$2:$ZZ$956, 354, MATCH($B$2, resultados!$A$1:$ZZ$1, 0))</f>
        <v>#N/A</v>
      </c>
      <c r="C360" t="e">
        <f>INDEX(resultados!$A$2:$ZZ$956, 354, MATCH($B$3, resultados!$A$1:$ZZ$1, 0))</f>
        <v>#N/A</v>
      </c>
    </row>
    <row r="361" spans="1:3" x14ac:dyDescent="0.3">
      <c r="A361" t="e">
        <f>INDEX(resultados!$A$2:$ZZ$956, 355, MATCH($B$1, resultados!$A$1:$ZZ$1, 0))</f>
        <v>#N/A</v>
      </c>
      <c r="B361" t="e">
        <f>INDEX(resultados!$A$2:$ZZ$956, 355, MATCH($B$2, resultados!$A$1:$ZZ$1, 0))</f>
        <v>#N/A</v>
      </c>
      <c r="C361" t="e">
        <f>INDEX(resultados!$A$2:$ZZ$956, 355, MATCH($B$3, resultados!$A$1:$ZZ$1, 0))</f>
        <v>#N/A</v>
      </c>
    </row>
    <row r="362" spans="1:3" x14ac:dyDescent="0.3">
      <c r="A362" t="e">
        <f>INDEX(resultados!$A$2:$ZZ$956, 356, MATCH($B$1, resultados!$A$1:$ZZ$1, 0))</f>
        <v>#N/A</v>
      </c>
      <c r="B362" t="e">
        <f>INDEX(resultados!$A$2:$ZZ$956, 356, MATCH($B$2, resultados!$A$1:$ZZ$1, 0))</f>
        <v>#N/A</v>
      </c>
      <c r="C362" t="e">
        <f>INDEX(resultados!$A$2:$ZZ$956, 356, MATCH($B$3, resultados!$A$1:$ZZ$1, 0))</f>
        <v>#N/A</v>
      </c>
    </row>
    <row r="363" spans="1:3" x14ac:dyDescent="0.3">
      <c r="A363" t="e">
        <f>INDEX(resultados!$A$2:$ZZ$956, 357, MATCH($B$1, resultados!$A$1:$ZZ$1, 0))</f>
        <v>#N/A</v>
      </c>
      <c r="B363" t="e">
        <f>INDEX(resultados!$A$2:$ZZ$956, 357, MATCH($B$2, resultados!$A$1:$ZZ$1, 0))</f>
        <v>#N/A</v>
      </c>
      <c r="C363" t="e">
        <f>INDEX(resultados!$A$2:$ZZ$956, 357, MATCH($B$3, resultados!$A$1:$ZZ$1, 0))</f>
        <v>#N/A</v>
      </c>
    </row>
    <row r="364" spans="1:3" x14ac:dyDescent="0.3">
      <c r="A364" t="e">
        <f>INDEX(resultados!$A$2:$ZZ$956, 358, MATCH($B$1, resultados!$A$1:$ZZ$1, 0))</f>
        <v>#N/A</v>
      </c>
      <c r="B364" t="e">
        <f>INDEX(resultados!$A$2:$ZZ$956, 358, MATCH($B$2, resultados!$A$1:$ZZ$1, 0))</f>
        <v>#N/A</v>
      </c>
      <c r="C364" t="e">
        <f>INDEX(resultados!$A$2:$ZZ$956, 358, MATCH($B$3, resultados!$A$1:$ZZ$1, 0))</f>
        <v>#N/A</v>
      </c>
    </row>
    <row r="365" spans="1:3" x14ac:dyDescent="0.3">
      <c r="A365" t="e">
        <f>INDEX(resultados!$A$2:$ZZ$956, 359, MATCH($B$1, resultados!$A$1:$ZZ$1, 0))</f>
        <v>#N/A</v>
      </c>
      <c r="B365" t="e">
        <f>INDEX(resultados!$A$2:$ZZ$956, 359, MATCH($B$2, resultados!$A$1:$ZZ$1, 0))</f>
        <v>#N/A</v>
      </c>
      <c r="C365" t="e">
        <f>INDEX(resultados!$A$2:$ZZ$956, 359, MATCH($B$3, resultados!$A$1:$ZZ$1, 0))</f>
        <v>#N/A</v>
      </c>
    </row>
    <row r="366" spans="1:3" x14ac:dyDescent="0.3">
      <c r="A366" t="e">
        <f>INDEX(resultados!$A$2:$ZZ$956, 360, MATCH($B$1, resultados!$A$1:$ZZ$1, 0))</f>
        <v>#N/A</v>
      </c>
      <c r="B366" t="e">
        <f>INDEX(resultados!$A$2:$ZZ$956, 360, MATCH($B$2, resultados!$A$1:$ZZ$1, 0))</f>
        <v>#N/A</v>
      </c>
      <c r="C366" t="e">
        <f>INDEX(resultados!$A$2:$ZZ$956, 360, MATCH($B$3, resultados!$A$1:$ZZ$1, 0))</f>
        <v>#N/A</v>
      </c>
    </row>
    <row r="367" spans="1:3" x14ac:dyDescent="0.3">
      <c r="A367" t="e">
        <f>INDEX(resultados!$A$2:$ZZ$956, 361, MATCH($B$1, resultados!$A$1:$ZZ$1, 0))</f>
        <v>#N/A</v>
      </c>
      <c r="B367" t="e">
        <f>INDEX(resultados!$A$2:$ZZ$956, 361, MATCH($B$2, resultados!$A$1:$ZZ$1, 0))</f>
        <v>#N/A</v>
      </c>
      <c r="C367" t="e">
        <f>INDEX(resultados!$A$2:$ZZ$956, 361, MATCH($B$3, resultados!$A$1:$ZZ$1, 0))</f>
        <v>#N/A</v>
      </c>
    </row>
    <row r="368" spans="1:3" x14ac:dyDescent="0.3">
      <c r="A368" t="e">
        <f>INDEX(resultados!$A$2:$ZZ$956, 362, MATCH($B$1, resultados!$A$1:$ZZ$1, 0))</f>
        <v>#N/A</v>
      </c>
      <c r="B368" t="e">
        <f>INDEX(resultados!$A$2:$ZZ$956, 362, MATCH($B$2, resultados!$A$1:$ZZ$1, 0))</f>
        <v>#N/A</v>
      </c>
      <c r="C368" t="e">
        <f>INDEX(resultados!$A$2:$ZZ$956, 362, MATCH($B$3, resultados!$A$1:$ZZ$1, 0))</f>
        <v>#N/A</v>
      </c>
    </row>
    <row r="369" spans="1:3" x14ac:dyDescent="0.3">
      <c r="A369" t="e">
        <f>INDEX(resultados!$A$2:$ZZ$956, 363, MATCH($B$1, resultados!$A$1:$ZZ$1, 0))</f>
        <v>#N/A</v>
      </c>
      <c r="B369" t="e">
        <f>INDEX(resultados!$A$2:$ZZ$956, 363, MATCH($B$2, resultados!$A$1:$ZZ$1, 0))</f>
        <v>#N/A</v>
      </c>
      <c r="C369" t="e">
        <f>INDEX(resultados!$A$2:$ZZ$956, 363, MATCH($B$3, resultados!$A$1:$ZZ$1, 0))</f>
        <v>#N/A</v>
      </c>
    </row>
    <row r="370" spans="1:3" x14ac:dyDescent="0.3">
      <c r="A370" t="e">
        <f>INDEX(resultados!$A$2:$ZZ$956, 364, MATCH($B$1, resultados!$A$1:$ZZ$1, 0))</f>
        <v>#N/A</v>
      </c>
      <c r="B370" t="e">
        <f>INDEX(resultados!$A$2:$ZZ$956, 364, MATCH($B$2, resultados!$A$1:$ZZ$1, 0))</f>
        <v>#N/A</v>
      </c>
      <c r="C370" t="e">
        <f>INDEX(resultados!$A$2:$ZZ$956, 364, MATCH($B$3, resultados!$A$1:$ZZ$1, 0))</f>
        <v>#N/A</v>
      </c>
    </row>
    <row r="371" spans="1:3" x14ac:dyDescent="0.3">
      <c r="A371" t="e">
        <f>INDEX(resultados!$A$2:$ZZ$956, 365, MATCH($B$1, resultados!$A$1:$ZZ$1, 0))</f>
        <v>#N/A</v>
      </c>
      <c r="B371" t="e">
        <f>INDEX(resultados!$A$2:$ZZ$956, 365, MATCH($B$2, resultados!$A$1:$ZZ$1, 0))</f>
        <v>#N/A</v>
      </c>
      <c r="C371" t="e">
        <f>INDEX(resultados!$A$2:$ZZ$956, 365, MATCH($B$3, resultados!$A$1:$ZZ$1, 0))</f>
        <v>#N/A</v>
      </c>
    </row>
    <row r="372" spans="1:3" x14ac:dyDescent="0.3">
      <c r="A372" t="e">
        <f>INDEX(resultados!$A$2:$ZZ$956, 366, MATCH($B$1, resultados!$A$1:$ZZ$1, 0))</f>
        <v>#N/A</v>
      </c>
      <c r="B372" t="e">
        <f>INDEX(resultados!$A$2:$ZZ$956, 366, MATCH($B$2, resultados!$A$1:$ZZ$1, 0))</f>
        <v>#N/A</v>
      </c>
      <c r="C372" t="e">
        <f>INDEX(resultados!$A$2:$ZZ$956, 366, MATCH($B$3, resultados!$A$1:$ZZ$1, 0))</f>
        <v>#N/A</v>
      </c>
    </row>
    <row r="373" spans="1:3" x14ac:dyDescent="0.3">
      <c r="A373" t="e">
        <f>INDEX(resultados!$A$2:$ZZ$956, 367, MATCH($B$1, resultados!$A$1:$ZZ$1, 0))</f>
        <v>#N/A</v>
      </c>
      <c r="B373" t="e">
        <f>INDEX(resultados!$A$2:$ZZ$956, 367, MATCH($B$2, resultados!$A$1:$ZZ$1, 0))</f>
        <v>#N/A</v>
      </c>
      <c r="C373" t="e">
        <f>INDEX(resultados!$A$2:$ZZ$956, 367, MATCH($B$3, resultados!$A$1:$ZZ$1, 0))</f>
        <v>#N/A</v>
      </c>
    </row>
    <row r="374" spans="1:3" x14ac:dyDescent="0.3">
      <c r="A374" t="e">
        <f>INDEX(resultados!$A$2:$ZZ$956, 368, MATCH($B$1, resultados!$A$1:$ZZ$1, 0))</f>
        <v>#N/A</v>
      </c>
      <c r="B374" t="e">
        <f>INDEX(resultados!$A$2:$ZZ$956, 368, MATCH($B$2, resultados!$A$1:$ZZ$1, 0))</f>
        <v>#N/A</v>
      </c>
      <c r="C374" t="e">
        <f>INDEX(resultados!$A$2:$ZZ$956, 368, MATCH($B$3, resultados!$A$1:$ZZ$1, 0))</f>
        <v>#N/A</v>
      </c>
    </row>
    <row r="375" spans="1:3" x14ac:dyDescent="0.3">
      <c r="A375" t="e">
        <f>INDEX(resultados!$A$2:$ZZ$956, 369, MATCH($B$1, resultados!$A$1:$ZZ$1, 0))</f>
        <v>#N/A</v>
      </c>
      <c r="B375" t="e">
        <f>INDEX(resultados!$A$2:$ZZ$956, 369, MATCH($B$2, resultados!$A$1:$ZZ$1, 0))</f>
        <v>#N/A</v>
      </c>
      <c r="C375" t="e">
        <f>INDEX(resultados!$A$2:$ZZ$956, 369, MATCH($B$3, resultados!$A$1:$ZZ$1, 0))</f>
        <v>#N/A</v>
      </c>
    </row>
    <row r="376" spans="1:3" x14ac:dyDescent="0.3">
      <c r="A376" t="e">
        <f>INDEX(resultados!$A$2:$ZZ$956, 370, MATCH($B$1, resultados!$A$1:$ZZ$1, 0))</f>
        <v>#N/A</v>
      </c>
      <c r="B376" t="e">
        <f>INDEX(resultados!$A$2:$ZZ$956, 370, MATCH($B$2, resultados!$A$1:$ZZ$1, 0))</f>
        <v>#N/A</v>
      </c>
      <c r="C376" t="e">
        <f>INDEX(resultados!$A$2:$ZZ$956, 370, MATCH($B$3, resultados!$A$1:$ZZ$1, 0))</f>
        <v>#N/A</v>
      </c>
    </row>
    <row r="377" spans="1:3" x14ac:dyDescent="0.3">
      <c r="A377" t="e">
        <f>INDEX(resultados!$A$2:$ZZ$956, 371, MATCH($B$1, resultados!$A$1:$ZZ$1, 0))</f>
        <v>#N/A</v>
      </c>
      <c r="B377" t="e">
        <f>INDEX(resultados!$A$2:$ZZ$956, 371, MATCH($B$2, resultados!$A$1:$ZZ$1, 0))</f>
        <v>#N/A</v>
      </c>
      <c r="C377" t="e">
        <f>INDEX(resultados!$A$2:$ZZ$956, 371, MATCH($B$3, resultados!$A$1:$ZZ$1, 0))</f>
        <v>#N/A</v>
      </c>
    </row>
    <row r="378" spans="1:3" x14ac:dyDescent="0.3">
      <c r="A378" t="e">
        <f>INDEX(resultados!$A$2:$ZZ$956, 372, MATCH($B$1, resultados!$A$1:$ZZ$1, 0))</f>
        <v>#N/A</v>
      </c>
      <c r="B378" t="e">
        <f>INDEX(resultados!$A$2:$ZZ$956, 372, MATCH($B$2, resultados!$A$1:$ZZ$1, 0))</f>
        <v>#N/A</v>
      </c>
      <c r="C378" t="e">
        <f>INDEX(resultados!$A$2:$ZZ$956, 372, MATCH($B$3, resultados!$A$1:$ZZ$1, 0))</f>
        <v>#N/A</v>
      </c>
    </row>
    <row r="379" spans="1:3" x14ac:dyDescent="0.3">
      <c r="A379" t="e">
        <f>INDEX(resultados!$A$2:$ZZ$956, 373, MATCH($B$1, resultados!$A$1:$ZZ$1, 0))</f>
        <v>#N/A</v>
      </c>
      <c r="B379" t="e">
        <f>INDEX(resultados!$A$2:$ZZ$956, 373, MATCH($B$2, resultados!$A$1:$ZZ$1, 0))</f>
        <v>#N/A</v>
      </c>
      <c r="C379" t="e">
        <f>INDEX(resultados!$A$2:$ZZ$956, 373, MATCH($B$3, resultados!$A$1:$ZZ$1, 0))</f>
        <v>#N/A</v>
      </c>
    </row>
    <row r="380" spans="1:3" x14ac:dyDescent="0.3">
      <c r="A380" t="e">
        <f>INDEX(resultados!$A$2:$ZZ$956, 374, MATCH($B$1, resultados!$A$1:$ZZ$1, 0))</f>
        <v>#N/A</v>
      </c>
      <c r="B380" t="e">
        <f>INDEX(resultados!$A$2:$ZZ$956, 374, MATCH($B$2, resultados!$A$1:$ZZ$1, 0))</f>
        <v>#N/A</v>
      </c>
      <c r="C380" t="e">
        <f>INDEX(resultados!$A$2:$ZZ$956, 374, MATCH($B$3, resultados!$A$1:$ZZ$1, 0))</f>
        <v>#N/A</v>
      </c>
    </row>
    <row r="381" spans="1:3" x14ac:dyDescent="0.3">
      <c r="A381" t="e">
        <f>INDEX(resultados!$A$2:$ZZ$956, 375, MATCH($B$1, resultados!$A$1:$ZZ$1, 0))</f>
        <v>#N/A</v>
      </c>
      <c r="B381" t="e">
        <f>INDEX(resultados!$A$2:$ZZ$956, 375, MATCH($B$2, resultados!$A$1:$ZZ$1, 0))</f>
        <v>#N/A</v>
      </c>
      <c r="C381" t="e">
        <f>INDEX(resultados!$A$2:$ZZ$956, 375, MATCH($B$3, resultados!$A$1:$ZZ$1, 0))</f>
        <v>#N/A</v>
      </c>
    </row>
    <row r="382" spans="1:3" x14ac:dyDescent="0.3">
      <c r="A382" t="e">
        <f>INDEX(resultados!$A$2:$ZZ$956, 376, MATCH($B$1, resultados!$A$1:$ZZ$1, 0))</f>
        <v>#N/A</v>
      </c>
      <c r="B382" t="e">
        <f>INDEX(resultados!$A$2:$ZZ$956, 376, MATCH($B$2, resultados!$A$1:$ZZ$1, 0))</f>
        <v>#N/A</v>
      </c>
      <c r="C382" t="e">
        <f>INDEX(resultados!$A$2:$ZZ$956, 376, MATCH($B$3, resultados!$A$1:$ZZ$1, 0))</f>
        <v>#N/A</v>
      </c>
    </row>
    <row r="383" spans="1:3" x14ac:dyDescent="0.3">
      <c r="A383" t="e">
        <f>INDEX(resultados!$A$2:$ZZ$956, 377, MATCH($B$1, resultados!$A$1:$ZZ$1, 0))</f>
        <v>#N/A</v>
      </c>
      <c r="B383" t="e">
        <f>INDEX(resultados!$A$2:$ZZ$956, 377, MATCH($B$2, resultados!$A$1:$ZZ$1, 0))</f>
        <v>#N/A</v>
      </c>
      <c r="C383" t="e">
        <f>INDEX(resultados!$A$2:$ZZ$956, 377, MATCH($B$3, resultados!$A$1:$ZZ$1, 0))</f>
        <v>#N/A</v>
      </c>
    </row>
    <row r="384" spans="1:3" x14ac:dyDescent="0.3">
      <c r="A384" t="e">
        <f>INDEX(resultados!$A$2:$ZZ$956, 378, MATCH($B$1, resultados!$A$1:$ZZ$1, 0))</f>
        <v>#N/A</v>
      </c>
      <c r="B384" t="e">
        <f>INDEX(resultados!$A$2:$ZZ$956, 378, MATCH($B$2, resultados!$A$1:$ZZ$1, 0))</f>
        <v>#N/A</v>
      </c>
      <c r="C384" t="e">
        <f>INDEX(resultados!$A$2:$ZZ$956, 378, MATCH($B$3, resultados!$A$1:$ZZ$1, 0))</f>
        <v>#N/A</v>
      </c>
    </row>
    <row r="385" spans="1:3" x14ac:dyDescent="0.3">
      <c r="A385" t="e">
        <f>INDEX(resultados!$A$2:$ZZ$956, 379, MATCH($B$1, resultados!$A$1:$ZZ$1, 0))</f>
        <v>#N/A</v>
      </c>
      <c r="B385" t="e">
        <f>INDEX(resultados!$A$2:$ZZ$956, 379, MATCH($B$2, resultados!$A$1:$ZZ$1, 0))</f>
        <v>#N/A</v>
      </c>
      <c r="C385" t="e">
        <f>INDEX(resultados!$A$2:$ZZ$956, 379, MATCH($B$3, resultados!$A$1:$ZZ$1, 0))</f>
        <v>#N/A</v>
      </c>
    </row>
    <row r="386" spans="1:3" x14ac:dyDescent="0.3">
      <c r="A386" t="e">
        <f>INDEX(resultados!$A$2:$ZZ$956, 380, MATCH($B$1, resultados!$A$1:$ZZ$1, 0))</f>
        <v>#N/A</v>
      </c>
      <c r="B386" t="e">
        <f>INDEX(resultados!$A$2:$ZZ$956, 380, MATCH($B$2, resultados!$A$1:$ZZ$1, 0))</f>
        <v>#N/A</v>
      </c>
      <c r="C386" t="e">
        <f>INDEX(resultados!$A$2:$ZZ$956, 380, MATCH($B$3, resultados!$A$1:$ZZ$1, 0))</f>
        <v>#N/A</v>
      </c>
    </row>
    <row r="387" spans="1:3" x14ac:dyDescent="0.3">
      <c r="A387" t="e">
        <f>INDEX(resultados!$A$2:$ZZ$956, 381, MATCH($B$1, resultados!$A$1:$ZZ$1, 0))</f>
        <v>#N/A</v>
      </c>
      <c r="B387" t="e">
        <f>INDEX(resultados!$A$2:$ZZ$956, 381, MATCH($B$2, resultados!$A$1:$ZZ$1, 0))</f>
        <v>#N/A</v>
      </c>
      <c r="C387" t="e">
        <f>INDEX(resultados!$A$2:$ZZ$956, 381, MATCH($B$3, resultados!$A$1:$ZZ$1, 0))</f>
        <v>#N/A</v>
      </c>
    </row>
    <row r="388" spans="1:3" x14ac:dyDescent="0.3">
      <c r="A388" t="e">
        <f>INDEX(resultados!$A$2:$ZZ$956, 382, MATCH($B$1, resultados!$A$1:$ZZ$1, 0))</f>
        <v>#N/A</v>
      </c>
      <c r="B388" t="e">
        <f>INDEX(resultados!$A$2:$ZZ$956, 382, MATCH($B$2, resultados!$A$1:$ZZ$1, 0))</f>
        <v>#N/A</v>
      </c>
      <c r="C388" t="e">
        <f>INDEX(resultados!$A$2:$ZZ$956, 382, MATCH($B$3, resultados!$A$1:$ZZ$1, 0))</f>
        <v>#N/A</v>
      </c>
    </row>
    <row r="389" spans="1:3" x14ac:dyDescent="0.3">
      <c r="A389" t="e">
        <f>INDEX(resultados!$A$2:$ZZ$956, 383, MATCH($B$1, resultados!$A$1:$ZZ$1, 0))</f>
        <v>#N/A</v>
      </c>
      <c r="B389" t="e">
        <f>INDEX(resultados!$A$2:$ZZ$956, 383, MATCH($B$2, resultados!$A$1:$ZZ$1, 0))</f>
        <v>#N/A</v>
      </c>
      <c r="C389" t="e">
        <f>INDEX(resultados!$A$2:$ZZ$956, 383, MATCH($B$3, resultados!$A$1:$ZZ$1, 0))</f>
        <v>#N/A</v>
      </c>
    </row>
    <row r="390" spans="1:3" x14ac:dyDescent="0.3">
      <c r="A390" t="e">
        <f>INDEX(resultados!$A$2:$ZZ$956, 384, MATCH($B$1, resultados!$A$1:$ZZ$1, 0))</f>
        <v>#N/A</v>
      </c>
      <c r="B390" t="e">
        <f>INDEX(resultados!$A$2:$ZZ$956, 384, MATCH($B$2, resultados!$A$1:$ZZ$1, 0))</f>
        <v>#N/A</v>
      </c>
      <c r="C390" t="e">
        <f>INDEX(resultados!$A$2:$ZZ$956, 384, MATCH($B$3, resultados!$A$1:$ZZ$1, 0))</f>
        <v>#N/A</v>
      </c>
    </row>
    <row r="391" spans="1:3" x14ac:dyDescent="0.3">
      <c r="A391" t="e">
        <f>INDEX(resultados!$A$2:$ZZ$956, 385, MATCH($B$1, resultados!$A$1:$ZZ$1, 0))</f>
        <v>#N/A</v>
      </c>
      <c r="B391" t="e">
        <f>INDEX(resultados!$A$2:$ZZ$956, 385, MATCH($B$2, resultados!$A$1:$ZZ$1, 0))</f>
        <v>#N/A</v>
      </c>
      <c r="C391" t="e">
        <f>INDEX(resultados!$A$2:$ZZ$956, 385, MATCH($B$3, resultados!$A$1:$ZZ$1, 0))</f>
        <v>#N/A</v>
      </c>
    </row>
    <row r="392" spans="1:3" x14ac:dyDescent="0.3">
      <c r="A392" t="e">
        <f>INDEX(resultados!$A$2:$ZZ$956, 386, MATCH($B$1, resultados!$A$1:$ZZ$1, 0))</f>
        <v>#N/A</v>
      </c>
      <c r="B392" t="e">
        <f>INDEX(resultados!$A$2:$ZZ$956, 386, MATCH($B$2, resultados!$A$1:$ZZ$1, 0))</f>
        <v>#N/A</v>
      </c>
      <c r="C392" t="e">
        <f>INDEX(resultados!$A$2:$ZZ$956, 386, MATCH($B$3, resultados!$A$1:$ZZ$1, 0))</f>
        <v>#N/A</v>
      </c>
    </row>
    <row r="393" spans="1:3" x14ac:dyDescent="0.3">
      <c r="A393" t="e">
        <f>INDEX(resultados!$A$2:$ZZ$956, 387, MATCH($B$1, resultados!$A$1:$ZZ$1, 0))</f>
        <v>#N/A</v>
      </c>
      <c r="B393" t="e">
        <f>INDEX(resultados!$A$2:$ZZ$956, 387, MATCH($B$2, resultados!$A$1:$ZZ$1, 0))</f>
        <v>#N/A</v>
      </c>
      <c r="C393" t="e">
        <f>INDEX(resultados!$A$2:$ZZ$956, 387, MATCH($B$3, resultados!$A$1:$ZZ$1, 0))</f>
        <v>#N/A</v>
      </c>
    </row>
    <row r="394" spans="1:3" x14ac:dyDescent="0.3">
      <c r="A394" t="e">
        <f>INDEX(resultados!$A$2:$ZZ$956, 388, MATCH($B$1, resultados!$A$1:$ZZ$1, 0))</f>
        <v>#N/A</v>
      </c>
      <c r="B394" t="e">
        <f>INDEX(resultados!$A$2:$ZZ$956, 388, MATCH($B$2, resultados!$A$1:$ZZ$1, 0))</f>
        <v>#N/A</v>
      </c>
      <c r="C394" t="e">
        <f>INDEX(resultados!$A$2:$ZZ$956, 388, MATCH($B$3, resultados!$A$1:$ZZ$1, 0))</f>
        <v>#N/A</v>
      </c>
    </row>
    <row r="395" spans="1:3" x14ac:dyDescent="0.3">
      <c r="A395" t="e">
        <f>INDEX(resultados!$A$2:$ZZ$956, 389, MATCH($B$1, resultados!$A$1:$ZZ$1, 0))</f>
        <v>#N/A</v>
      </c>
      <c r="B395" t="e">
        <f>INDEX(resultados!$A$2:$ZZ$956, 389, MATCH($B$2, resultados!$A$1:$ZZ$1, 0))</f>
        <v>#N/A</v>
      </c>
      <c r="C395" t="e">
        <f>INDEX(resultados!$A$2:$ZZ$956, 389, MATCH($B$3, resultados!$A$1:$ZZ$1, 0))</f>
        <v>#N/A</v>
      </c>
    </row>
    <row r="396" spans="1:3" x14ac:dyDescent="0.3">
      <c r="A396" t="e">
        <f>INDEX(resultados!$A$2:$ZZ$956, 390, MATCH($B$1, resultados!$A$1:$ZZ$1, 0))</f>
        <v>#N/A</v>
      </c>
      <c r="B396" t="e">
        <f>INDEX(resultados!$A$2:$ZZ$956, 390, MATCH($B$2, resultados!$A$1:$ZZ$1, 0))</f>
        <v>#N/A</v>
      </c>
      <c r="C396" t="e">
        <f>INDEX(resultados!$A$2:$ZZ$956, 390, MATCH($B$3, resultados!$A$1:$ZZ$1, 0))</f>
        <v>#N/A</v>
      </c>
    </row>
    <row r="397" spans="1:3" x14ac:dyDescent="0.3">
      <c r="A397" t="e">
        <f>INDEX(resultados!$A$2:$ZZ$956, 391, MATCH($B$1, resultados!$A$1:$ZZ$1, 0))</f>
        <v>#N/A</v>
      </c>
      <c r="B397" t="e">
        <f>INDEX(resultados!$A$2:$ZZ$956, 391, MATCH($B$2, resultados!$A$1:$ZZ$1, 0))</f>
        <v>#N/A</v>
      </c>
      <c r="C397" t="e">
        <f>INDEX(resultados!$A$2:$ZZ$956, 391, MATCH($B$3, resultados!$A$1:$ZZ$1, 0))</f>
        <v>#N/A</v>
      </c>
    </row>
    <row r="398" spans="1:3" x14ac:dyDescent="0.3">
      <c r="A398" t="e">
        <f>INDEX(resultados!$A$2:$ZZ$956, 392, MATCH($B$1, resultados!$A$1:$ZZ$1, 0))</f>
        <v>#N/A</v>
      </c>
      <c r="B398" t="e">
        <f>INDEX(resultados!$A$2:$ZZ$956, 392, MATCH($B$2, resultados!$A$1:$ZZ$1, 0))</f>
        <v>#N/A</v>
      </c>
      <c r="C398" t="e">
        <f>INDEX(resultados!$A$2:$ZZ$956, 392, MATCH($B$3, resultados!$A$1:$ZZ$1, 0))</f>
        <v>#N/A</v>
      </c>
    </row>
    <row r="399" spans="1:3" x14ac:dyDescent="0.3">
      <c r="A399" t="e">
        <f>INDEX(resultados!$A$2:$ZZ$956, 393, MATCH($B$1, resultados!$A$1:$ZZ$1, 0))</f>
        <v>#N/A</v>
      </c>
      <c r="B399" t="e">
        <f>INDEX(resultados!$A$2:$ZZ$956, 393, MATCH($B$2, resultados!$A$1:$ZZ$1, 0))</f>
        <v>#N/A</v>
      </c>
      <c r="C399" t="e">
        <f>INDEX(resultados!$A$2:$ZZ$956, 393, MATCH($B$3, resultados!$A$1:$ZZ$1, 0))</f>
        <v>#N/A</v>
      </c>
    </row>
    <row r="400" spans="1:3" x14ac:dyDescent="0.3">
      <c r="A400" t="e">
        <f>INDEX(resultados!$A$2:$ZZ$956, 394, MATCH($B$1, resultados!$A$1:$ZZ$1, 0))</f>
        <v>#N/A</v>
      </c>
      <c r="B400" t="e">
        <f>INDEX(resultados!$A$2:$ZZ$956, 394, MATCH($B$2, resultados!$A$1:$ZZ$1, 0))</f>
        <v>#N/A</v>
      </c>
      <c r="C400" t="e">
        <f>INDEX(resultados!$A$2:$ZZ$956, 394, MATCH($B$3, resultados!$A$1:$ZZ$1, 0))</f>
        <v>#N/A</v>
      </c>
    </row>
    <row r="401" spans="1:3" x14ac:dyDescent="0.3">
      <c r="A401" t="e">
        <f>INDEX(resultados!$A$2:$ZZ$956, 395, MATCH($B$1, resultados!$A$1:$ZZ$1, 0))</f>
        <v>#N/A</v>
      </c>
      <c r="B401" t="e">
        <f>INDEX(resultados!$A$2:$ZZ$956, 395, MATCH($B$2, resultados!$A$1:$ZZ$1, 0))</f>
        <v>#N/A</v>
      </c>
      <c r="C401" t="e">
        <f>INDEX(resultados!$A$2:$ZZ$956, 395, MATCH($B$3, resultados!$A$1:$ZZ$1, 0))</f>
        <v>#N/A</v>
      </c>
    </row>
    <row r="402" spans="1:3" x14ac:dyDescent="0.3">
      <c r="A402" t="e">
        <f>INDEX(resultados!$A$2:$ZZ$956, 396, MATCH($B$1, resultados!$A$1:$ZZ$1, 0))</f>
        <v>#N/A</v>
      </c>
      <c r="B402" t="e">
        <f>INDEX(resultados!$A$2:$ZZ$956, 396, MATCH($B$2, resultados!$A$1:$ZZ$1, 0))</f>
        <v>#N/A</v>
      </c>
      <c r="C402" t="e">
        <f>INDEX(resultados!$A$2:$ZZ$956, 396, MATCH($B$3, resultados!$A$1:$ZZ$1, 0))</f>
        <v>#N/A</v>
      </c>
    </row>
    <row r="403" spans="1:3" x14ac:dyDescent="0.3">
      <c r="A403" t="e">
        <f>INDEX(resultados!$A$2:$ZZ$956, 397, MATCH($B$1, resultados!$A$1:$ZZ$1, 0))</f>
        <v>#N/A</v>
      </c>
      <c r="B403" t="e">
        <f>INDEX(resultados!$A$2:$ZZ$956, 397, MATCH($B$2, resultados!$A$1:$ZZ$1, 0))</f>
        <v>#N/A</v>
      </c>
      <c r="C403" t="e">
        <f>INDEX(resultados!$A$2:$ZZ$956, 397, MATCH($B$3, resultados!$A$1:$ZZ$1, 0))</f>
        <v>#N/A</v>
      </c>
    </row>
    <row r="404" spans="1:3" x14ac:dyDescent="0.3">
      <c r="A404" t="e">
        <f>INDEX(resultados!$A$2:$ZZ$956, 398, MATCH($B$1, resultados!$A$1:$ZZ$1, 0))</f>
        <v>#N/A</v>
      </c>
      <c r="B404" t="e">
        <f>INDEX(resultados!$A$2:$ZZ$956, 398, MATCH($B$2, resultados!$A$1:$ZZ$1, 0))</f>
        <v>#N/A</v>
      </c>
      <c r="C404" t="e">
        <f>INDEX(resultados!$A$2:$ZZ$956, 398, MATCH($B$3, resultados!$A$1:$ZZ$1, 0))</f>
        <v>#N/A</v>
      </c>
    </row>
    <row r="405" spans="1:3" x14ac:dyDescent="0.3">
      <c r="A405" t="e">
        <f>INDEX(resultados!$A$2:$ZZ$956, 399, MATCH($B$1, resultados!$A$1:$ZZ$1, 0))</f>
        <v>#N/A</v>
      </c>
      <c r="B405" t="e">
        <f>INDEX(resultados!$A$2:$ZZ$956, 399, MATCH($B$2, resultados!$A$1:$ZZ$1, 0))</f>
        <v>#N/A</v>
      </c>
      <c r="C405" t="e">
        <f>INDEX(resultados!$A$2:$ZZ$956, 399, MATCH($B$3, resultados!$A$1:$ZZ$1, 0))</f>
        <v>#N/A</v>
      </c>
    </row>
    <row r="406" spans="1:3" x14ac:dyDescent="0.3">
      <c r="A406" t="e">
        <f>INDEX(resultados!$A$2:$ZZ$956, 400, MATCH($B$1, resultados!$A$1:$ZZ$1, 0))</f>
        <v>#N/A</v>
      </c>
      <c r="B406" t="e">
        <f>INDEX(resultados!$A$2:$ZZ$956, 400, MATCH($B$2, resultados!$A$1:$ZZ$1, 0))</f>
        <v>#N/A</v>
      </c>
      <c r="C406" t="e">
        <f>INDEX(resultados!$A$2:$ZZ$956, 400, MATCH($B$3, resultados!$A$1:$ZZ$1, 0))</f>
        <v>#N/A</v>
      </c>
    </row>
    <row r="407" spans="1:3" x14ac:dyDescent="0.3">
      <c r="A407" t="e">
        <f>INDEX(resultados!$A$2:$ZZ$956, 401, MATCH($B$1, resultados!$A$1:$ZZ$1, 0))</f>
        <v>#N/A</v>
      </c>
      <c r="B407" t="e">
        <f>INDEX(resultados!$A$2:$ZZ$956, 401, MATCH($B$2, resultados!$A$1:$ZZ$1, 0))</f>
        <v>#N/A</v>
      </c>
      <c r="C407" t="e">
        <f>INDEX(resultados!$A$2:$ZZ$956, 401, MATCH($B$3, resultados!$A$1:$ZZ$1, 0))</f>
        <v>#N/A</v>
      </c>
    </row>
    <row r="408" spans="1:3" x14ac:dyDescent="0.3">
      <c r="A408" t="e">
        <f>INDEX(resultados!$A$2:$ZZ$956, 402, MATCH($B$1, resultados!$A$1:$ZZ$1, 0))</f>
        <v>#N/A</v>
      </c>
      <c r="B408" t="e">
        <f>INDEX(resultados!$A$2:$ZZ$956, 402, MATCH($B$2, resultados!$A$1:$ZZ$1, 0))</f>
        <v>#N/A</v>
      </c>
      <c r="C408" t="e">
        <f>INDEX(resultados!$A$2:$ZZ$956, 402, MATCH($B$3, resultados!$A$1:$ZZ$1, 0))</f>
        <v>#N/A</v>
      </c>
    </row>
    <row r="409" spans="1:3" x14ac:dyDescent="0.3">
      <c r="A409" t="e">
        <f>INDEX(resultados!$A$2:$ZZ$956, 403, MATCH($B$1, resultados!$A$1:$ZZ$1, 0))</f>
        <v>#N/A</v>
      </c>
      <c r="B409" t="e">
        <f>INDEX(resultados!$A$2:$ZZ$956, 403, MATCH($B$2, resultados!$A$1:$ZZ$1, 0))</f>
        <v>#N/A</v>
      </c>
      <c r="C409" t="e">
        <f>INDEX(resultados!$A$2:$ZZ$956, 403, MATCH($B$3, resultados!$A$1:$ZZ$1, 0))</f>
        <v>#N/A</v>
      </c>
    </row>
    <row r="410" spans="1:3" x14ac:dyDescent="0.3">
      <c r="A410" t="e">
        <f>INDEX(resultados!$A$2:$ZZ$956, 404, MATCH($B$1, resultados!$A$1:$ZZ$1, 0))</f>
        <v>#N/A</v>
      </c>
      <c r="B410" t="e">
        <f>INDEX(resultados!$A$2:$ZZ$956, 404, MATCH($B$2, resultados!$A$1:$ZZ$1, 0))</f>
        <v>#N/A</v>
      </c>
      <c r="C410" t="e">
        <f>INDEX(resultados!$A$2:$ZZ$956, 404, MATCH($B$3, resultados!$A$1:$ZZ$1, 0))</f>
        <v>#N/A</v>
      </c>
    </row>
    <row r="411" spans="1:3" x14ac:dyDescent="0.3">
      <c r="A411" t="e">
        <f>INDEX(resultados!$A$2:$ZZ$956, 405, MATCH($B$1, resultados!$A$1:$ZZ$1, 0))</f>
        <v>#N/A</v>
      </c>
      <c r="B411" t="e">
        <f>INDEX(resultados!$A$2:$ZZ$956, 405, MATCH($B$2, resultados!$A$1:$ZZ$1, 0))</f>
        <v>#N/A</v>
      </c>
      <c r="C411" t="e">
        <f>INDEX(resultados!$A$2:$ZZ$956, 405, MATCH($B$3, resultados!$A$1:$ZZ$1, 0))</f>
        <v>#N/A</v>
      </c>
    </row>
    <row r="412" spans="1:3" x14ac:dyDescent="0.3">
      <c r="A412" t="e">
        <f>INDEX(resultados!$A$2:$ZZ$956, 406, MATCH($B$1, resultados!$A$1:$ZZ$1, 0))</f>
        <v>#N/A</v>
      </c>
      <c r="B412" t="e">
        <f>INDEX(resultados!$A$2:$ZZ$956, 406, MATCH($B$2, resultados!$A$1:$ZZ$1, 0))</f>
        <v>#N/A</v>
      </c>
      <c r="C412" t="e">
        <f>INDEX(resultados!$A$2:$ZZ$956, 406, MATCH($B$3, resultados!$A$1:$ZZ$1, 0))</f>
        <v>#N/A</v>
      </c>
    </row>
    <row r="413" spans="1:3" x14ac:dyDescent="0.3">
      <c r="A413" t="e">
        <f>INDEX(resultados!$A$2:$ZZ$956, 407, MATCH($B$1, resultados!$A$1:$ZZ$1, 0))</f>
        <v>#N/A</v>
      </c>
      <c r="B413" t="e">
        <f>INDEX(resultados!$A$2:$ZZ$956, 407, MATCH($B$2, resultados!$A$1:$ZZ$1, 0))</f>
        <v>#N/A</v>
      </c>
      <c r="C413" t="e">
        <f>INDEX(resultados!$A$2:$ZZ$956, 407, MATCH($B$3, resultados!$A$1:$ZZ$1, 0))</f>
        <v>#N/A</v>
      </c>
    </row>
    <row r="414" spans="1:3" x14ac:dyDescent="0.3">
      <c r="A414" t="e">
        <f>INDEX(resultados!$A$2:$ZZ$956, 408, MATCH($B$1, resultados!$A$1:$ZZ$1, 0))</f>
        <v>#N/A</v>
      </c>
      <c r="B414" t="e">
        <f>INDEX(resultados!$A$2:$ZZ$956, 408, MATCH($B$2, resultados!$A$1:$ZZ$1, 0))</f>
        <v>#N/A</v>
      </c>
      <c r="C414" t="e">
        <f>INDEX(resultados!$A$2:$ZZ$956, 408, MATCH($B$3, resultados!$A$1:$ZZ$1, 0))</f>
        <v>#N/A</v>
      </c>
    </row>
    <row r="415" spans="1:3" x14ac:dyDescent="0.3">
      <c r="A415" t="e">
        <f>INDEX(resultados!$A$2:$ZZ$956, 409, MATCH($B$1, resultados!$A$1:$ZZ$1, 0))</f>
        <v>#N/A</v>
      </c>
      <c r="B415" t="e">
        <f>INDEX(resultados!$A$2:$ZZ$956, 409, MATCH($B$2, resultados!$A$1:$ZZ$1, 0))</f>
        <v>#N/A</v>
      </c>
      <c r="C415" t="e">
        <f>INDEX(resultados!$A$2:$ZZ$956, 409, MATCH($B$3, resultados!$A$1:$ZZ$1, 0))</f>
        <v>#N/A</v>
      </c>
    </row>
    <row r="416" spans="1:3" x14ac:dyDescent="0.3">
      <c r="A416" t="e">
        <f>INDEX(resultados!$A$2:$ZZ$956, 410, MATCH($B$1, resultados!$A$1:$ZZ$1, 0))</f>
        <v>#N/A</v>
      </c>
      <c r="B416" t="e">
        <f>INDEX(resultados!$A$2:$ZZ$956, 410, MATCH($B$2, resultados!$A$1:$ZZ$1, 0))</f>
        <v>#N/A</v>
      </c>
      <c r="C416" t="e">
        <f>INDEX(resultados!$A$2:$ZZ$956, 410, MATCH($B$3, resultados!$A$1:$ZZ$1, 0))</f>
        <v>#N/A</v>
      </c>
    </row>
    <row r="417" spans="1:3" x14ac:dyDescent="0.3">
      <c r="A417" t="e">
        <f>INDEX(resultados!$A$2:$ZZ$956, 411, MATCH($B$1, resultados!$A$1:$ZZ$1, 0))</f>
        <v>#N/A</v>
      </c>
      <c r="B417" t="e">
        <f>INDEX(resultados!$A$2:$ZZ$956, 411, MATCH($B$2, resultados!$A$1:$ZZ$1, 0))</f>
        <v>#N/A</v>
      </c>
      <c r="C417" t="e">
        <f>INDEX(resultados!$A$2:$ZZ$956, 411, MATCH($B$3, resultados!$A$1:$ZZ$1, 0))</f>
        <v>#N/A</v>
      </c>
    </row>
    <row r="418" spans="1:3" x14ac:dyDescent="0.3">
      <c r="A418" t="e">
        <f>INDEX(resultados!$A$2:$ZZ$956, 412, MATCH($B$1, resultados!$A$1:$ZZ$1, 0))</f>
        <v>#N/A</v>
      </c>
      <c r="B418" t="e">
        <f>INDEX(resultados!$A$2:$ZZ$956, 412, MATCH($B$2, resultados!$A$1:$ZZ$1, 0))</f>
        <v>#N/A</v>
      </c>
      <c r="C418" t="e">
        <f>INDEX(resultados!$A$2:$ZZ$956, 412, MATCH($B$3, resultados!$A$1:$ZZ$1, 0))</f>
        <v>#N/A</v>
      </c>
    </row>
    <row r="419" spans="1:3" x14ac:dyDescent="0.3">
      <c r="A419" t="e">
        <f>INDEX(resultados!$A$2:$ZZ$956, 413, MATCH($B$1, resultados!$A$1:$ZZ$1, 0))</f>
        <v>#N/A</v>
      </c>
      <c r="B419" t="e">
        <f>INDEX(resultados!$A$2:$ZZ$956, 413, MATCH($B$2, resultados!$A$1:$ZZ$1, 0))</f>
        <v>#N/A</v>
      </c>
      <c r="C419" t="e">
        <f>INDEX(resultados!$A$2:$ZZ$956, 413, MATCH($B$3, resultados!$A$1:$ZZ$1, 0))</f>
        <v>#N/A</v>
      </c>
    </row>
    <row r="420" spans="1:3" x14ac:dyDescent="0.3">
      <c r="A420" t="e">
        <f>INDEX(resultados!$A$2:$ZZ$956, 414, MATCH($B$1, resultados!$A$1:$ZZ$1, 0))</f>
        <v>#N/A</v>
      </c>
      <c r="B420" t="e">
        <f>INDEX(resultados!$A$2:$ZZ$956, 414, MATCH($B$2, resultados!$A$1:$ZZ$1, 0))</f>
        <v>#N/A</v>
      </c>
      <c r="C420" t="e">
        <f>INDEX(resultados!$A$2:$ZZ$956, 414, MATCH($B$3, resultados!$A$1:$ZZ$1, 0))</f>
        <v>#N/A</v>
      </c>
    </row>
    <row r="421" spans="1:3" x14ac:dyDescent="0.3">
      <c r="A421" t="e">
        <f>INDEX(resultados!$A$2:$ZZ$956, 415, MATCH($B$1, resultados!$A$1:$ZZ$1, 0))</f>
        <v>#N/A</v>
      </c>
      <c r="B421" t="e">
        <f>INDEX(resultados!$A$2:$ZZ$956, 415, MATCH($B$2, resultados!$A$1:$ZZ$1, 0))</f>
        <v>#N/A</v>
      </c>
      <c r="C421" t="e">
        <f>INDEX(resultados!$A$2:$ZZ$956, 415, MATCH($B$3, resultados!$A$1:$ZZ$1, 0))</f>
        <v>#N/A</v>
      </c>
    </row>
    <row r="422" spans="1:3" x14ac:dyDescent="0.3">
      <c r="A422" t="e">
        <f>INDEX(resultados!$A$2:$ZZ$956, 416, MATCH($B$1, resultados!$A$1:$ZZ$1, 0))</f>
        <v>#N/A</v>
      </c>
      <c r="B422" t="e">
        <f>INDEX(resultados!$A$2:$ZZ$956, 416, MATCH($B$2, resultados!$A$1:$ZZ$1, 0))</f>
        <v>#N/A</v>
      </c>
      <c r="C422" t="e">
        <f>INDEX(resultados!$A$2:$ZZ$956, 416, MATCH($B$3, resultados!$A$1:$ZZ$1, 0))</f>
        <v>#N/A</v>
      </c>
    </row>
    <row r="423" spans="1:3" x14ac:dyDescent="0.3">
      <c r="A423" t="e">
        <f>INDEX(resultados!$A$2:$ZZ$956, 417, MATCH($B$1, resultados!$A$1:$ZZ$1, 0))</f>
        <v>#N/A</v>
      </c>
      <c r="B423" t="e">
        <f>INDEX(resultados!$A$2:$ZZ$956, 417, MATCH($B$2, resultados!$A$1:$ZZ$1, 0))</f>
        <v>#N/A</v>
      </c>
      <c r="C423" t="e">
        <f>INDEX(resultados!$A$2:$ZZ$956, 417, MATCH($B$3, resultados!$A$1:$ZZ$1, 0))</f>
        <v>#N/A</v>
      </c>
    </row>
    <row r="424" spans="1:3" x14ac:dyDescent="0.3">
      <c r="A424" t="e">
        <f>INDEX(resultados!$A$2:$ZZ$956, 418, MATCH($B$1, resultados!$A$1:$ZZ$1, 0))</f>
        <v>#N/A</v>
      </c>
      <c r="B424" t="e">
        <f>INDEX(resultados!$A$2:$ZZ$956, 418, MATCH($B$2, resultados!$A$1:$ZZ$1, 0))</f>
        <v>#N/A</v>
      </c>
      <c r="C424" t="e">
        <f>INDEX(resultados!$A$2:$ZZ$956, 418, MATCH($B$3, resultados!$A$1:$ZZ$1, 0))</f>
        <v>#N/A</v>
      </c>
    </row>
    <row r="425" spans="1:3" x14ac:dyDescent="0.3">
      <c r="A425" t="e">
        <f>INDEX(resultados!$A$2:$ZZ$956, 419, MATCH($B$1, resultados!$A$1:$ZZ$1, 0))</f>
        <v>#N/A</v>
      </c>
      <c r="B425" t="e">
        <f>INDEX(resultados!$A$2:$ZZ$956, 419, MATCH($B$2, resultados!$A$1:$ZZ$1, 0))</f>
        <v>#N/A</v>
      </c>
      <c r="C425" t="e">
        <f>INDEX(resultados!$A$2:$ZZ$956, 419, MATCH($B$3, resultados!$A$1:$ZZ$1, 0))</f>
        <v>#N/A</v>
      </c>
    </row>
    <row r="426" spans="1:3" x14ac:dyDescent="0.3">
      <c r="A426" t="e">
        <f>INDEX(resultados!$A$2:$ZZ$956, 420, MATCH($B$1, resultados!$A$1:$ZZ$1, 0))</f>
        <v>#N/A</v>
      </c>
      <c r="B426" t="e">
        <f>INDEX(resultados!$A$2:$ZZ$956, 420, MATCH($B$2, resultados!$A$1:$ZZ$1, 0))</f>
        <v>#N/A</v>
      </c>
      <c r="C426" t="e">
        <f>INDEX(resultados!$A$2:$ZZ$956, 420, MATCH($B$3, resultados!$A$1:$ZZ$1, 0))</f>
        <v>#N/A</v>
      </c>
    </row>
    <row r="427" spans="1:3" x14ac:dyDescent="0.3">
      <c r="A427" t="e">
        <f>INDEX(resultados!$A$2:$ZZ$956, 421, MATCH($B$1, resultados!$A$1:$ZZ$1, 0))</f>
        <v>#N/A</v>
      </c>
      <c r="B427" t="e">
        <f>INDEX(resultados!$A$2:$ZZ$956, 421, MATCH($B$2, resultados!$A$1:$ZZ$1, 0))</f>
        <v>#N/A</v>
      </c>
      <c r="C427" t="e">
        <f>INDEX(resultados!$A$2:$ZZ$956, 421, MATCH($B$3, resultados!$A$1:$ZZ$1, 0))</f>
        <v>#N/A</v>
      </c>
    </row>
    <row r="428" spans="1:3" x14ac:dyDescent="0.3">
      <c r="A428" t="e">
        <f>INDEX(resultados!$A$2:$ZZ$956, 422, MATCH($B$1, resultados!$A$1:$ZZ$1, 0))</f>
        <v>#N/A</v>
      </c>
      <c r="B428" t="e">
        <f>INDEX(resultados!$A$2:$ZZ$956, 422, MATCH($B$2, resultados!$A$1:$ZZ$1, 0))</f>
        <v>#N/A</v>
      </c>
      <c r="C428" t="e">
        <f>INDEX(resultados!$A$2:$ZZ$956, 422, MATCH($B$3, resultados!$A$1:$ZZ$1, 0))</f>
        <v>#N/A</v>
      </c>
    </row>
    <row r="429" spans="1:3" x14ac:dyDescent="0.3">
      <c r="A429" t="e">
        <f>INDEX(resultados!$A$2:$ZZ$956, 423, MATCH($B$1, resultados!$A$1:$ZZ$1, 0))</f>
        <v>#N/A</v>
      </c>
      <c r="B429" t="e">
        <f>INDEX(resultados!$A$2:$ZZ$956, 423, MATCH($B$2, resultados!$A$1:$ZZ$1, 0))</f>
        <v>#N/A</v>
      </c>
      <c r="C429" t="e">
        <f>INDEX(resultados!$A$2:$ZZ$956, 423, MATCH($B$3, resultados!$A$1:$ZZ$1, 0))</f>
        <v>#N/A</v>
      </c>
    </row>
    <row r="430" spans="1:3" x14ac:dyDescent="0.3">
      <c r="A430" t="e">
        <f>INDEX(resultados!$A$2:$ZZ$956, 424, MATCH($B$1, resultados!$A$1:$ZZ$1, 0))</f>
        <v>#N/A</v>
      </c>
      <c r="B430" t="e">
        <f>INDEX(resultados!$A$2:$ZZ$956, 424, MATCH($B$2, resultados!$A$1:$ZZ$1, 0))</f>
        <v>#N/A</v>
      </c>
      <c r="C430" t="e">
        <f>INDEX(resultados!$A$2:$ZZ$956, 424, MATCH($B$3, resultados!$A$1:$ZZ$1, 0))</f>
        <v>#N/A</v>
      </c>
    </row>
    <row r="431" spans="1:3" x14ac:dyDescent="0.3">
      <c r="A431" t="e">
        <f>INDEX(resultados!$A$2:$ZZ$956, 425, MATCH($B$1, resultados!$A$1:$ZZ$1, 0))</f>
        <v>#N/A</v>
      </c>
      <c r="B431" t="e">
        <f>INDEX(resultados!$A$2:$ZZ$956, 425, MATCH($B$2, resultados!$A$1:$ZZ$1, 0))</f>
        <v>#N/A</v>
      </c>
      <c r="C431" t="e">
        <f>INDEX(resultados!$A$2:$ZZ$956, 425, MATCH($B$3, resultados!$A$1:$ZZ$1, 0))</f>
        <v>#N/A</v>
      </c>
    </row>
    <row r="432" spans="1:3" x14ac:dyDescent="0.3">
      <c r="A432" t="e">
        <f>INDEX(resultados!$A$2:$ZZ$956, 426, MATCH($B$1, resultados!$A$1:$ZZ$1, 0))</f>
        <v>#N/A</v>
      </c>
      <c r="B432" t="e">
        <f>INDEX(resultados!$A$2:$ZZ$956, 426, MATCH($B$2, resultados!$A$1:$ZZ$1, 0))</f>
        <v>#N/A</v>
      </c>
      <c r="C432" t="e">
        <f>INDEX(resultados!$A$2:$ZZ$956, 426, MATCH($B$3, resultados!$A$1:$ZZ$1, 0))</f>
        <v>#N/A</v>
      </c>
    </row>
    <row r="433" spans="1:3" x14ac:dyDescent="0.3">
      <c r="A433" t="e">
        <f>INDEX(resultados!$A$2:$ZZ$956, 427, MATCH($B$1, resultados!$A$1:$ZZ$1, 0))</f>
        <v>#N/A</v>
      </c>
      <c r="B433" t="e">
        <f>INDEX(resultados!$A$2:$ZZ$956, 427, MATCH($B$2, resultados!$A$1:$ZZ$1, 0))</f>
        <v>#N/A</v>
      </c>
      <c r="C433" t="e">
        <f>INDEX(resultados!$A$2:$ZZ$956, 427, MATCH($B$3, resultados!$A$1:$ZZ$1, 0))</f>
        <v>#N/A</v>
      </c>
    </row>
    <row r="434" spans="1:3" x14ac:dyDescent="0.3">
      <c r="A434" t="e">
        <f>INDEX(resultados!$A$2:$ZZ$956, 428, MATCH($B$1, resultados!$A$1:$ZZ$1, 0))</f>
        <v>#N/A</v>
      </c>
      <c r="B434" t="e">
        <f>INDEX(resultados!$A$2:$ZZ$956, 428, MATCH($B$2, resultados!$A$1:$ZZ$1, 0))</f>
        <v>#N/A</v>
      </c>
      <c r="C434" t="e">
        <f>INDEX(resultados!$A$2:$ZZ$956, 428, MATCH($B$3, resultados!$A$1:$ZZ$1, 0))</f>
        <v>#N/A</v>
      </c>
    </row>
    <row r="435" spans="1:3" x14ac:dyDescent="0.3">
      <c r="A435" t="e">
        <f>INDEX(resultados!$A$2:$ZZ$956, 429, MATCH($B$1, resultados!$A$1:$ZZ$1, 0))</f>
        <v>#N/A</v>
      </c>
      <c r="B435" t="e">
        <f>INDEX(resultados!$A$2:$ZZ$956, 429, MATCH($B$2, resultados!$A$1:$ZZ$1, 0))</f>
        <v>#N/A</v>
      </c>
      <c r="C435" t="e">
        <f>INDEX(resultados!$A$2:$ZZ$956, 429, MATCH($B$3, resultados!$A$1:$ZZ$1, 0))</f>
        <v>#N/A</v>
      </c>
    </row>
    <row r="436" spans="1:3" x14ac:dyDescent="0.3">
      <c r="A436" t="e">
        <f>INDEX(resultados!$A$2:$ZZ$956, 430, MATCH($B$1, resultados!$A$1:$ZZ$1, 0))</f>
        <v>#N/A</v>
      </c>
      <c r="B436" t="e">
        <f>INDEX(resultados!$A$2:$ZZ$956, 430, MATCH($B$2, resultados!$A$1:$ZZ$1, 0))</f>
        <v>#N/A</v>
      </c>
      <c r="C436" t="e">
        <f>INDEX(resultados!$A$2:$ZZ$956, 430, MATCH($B$3, resultados!$A$1:$ZZ$1, 0))</f>
        <v>#N/A</v>
      </c>
    </row>
    <row r="437" spans="1:3" x14ac:dyDescent="0.3">
      <c r="A437" t="e">
        <f>INDEX(resultados!$A$2:$ZZ$956, 431, MATCH($B$1, resultados!$A$1:$ZZ$1, 0))</f>
        <v>#N/A</v>
      </c>
      <c r="B437" t="e">
        <f>INDEX(resultados!$A$2:$ZZ$956, 431, MATCH($B$2, resultados!$A$1:$ZZ$1, 0))</f>
        <v>#N/A</v>
      </c>
      <c r="C437" t="e">
        <f>INDEX(resultados!$A$2:$ZZ$956, 431, MATCH($B$3, resultados!$A$1:$ZZ$1, 0))</f>
        <v>#N/A</v>
      </c>
    </row>
    <row r="438" spans="1:3" x14ac:dyDescent="0.3">
      <c r="A438" t="e">
        <f>INDEX(resultados!$A$2:$ZZ$956, 432, MATCH($B$1, resultados!$A$1:$ZZ$1, 0))</f>
        <v>#N/A</v>
      </c>
      <c r="B438" t="e">
        <f>INDEX(resultados!$A$2:$ZZ$956, 432, MATCH($B$2, resultados!$A$1:$ZZ$1, 0))</f>
        <v>#N/A</v>
      </c>
      <c r="C438" t="e">
        <f>INDEX(resultados!$A$2:$ZZ$956, 432, MATCH($B$3, resultados!$A$1:$ZZ$1, 0))</f>
        <v>#N/A</v>
      </c>
    </row>
    <row r="439" spans="1:3" x14ac:dyDescent="0.3">
      <c r="A439" t="e">
        <f>INDEX(resultados!$A$2:$ZZ$956, 433, MATCH($B$1, resultados!$A$1:$ZZ$1, 0))</f>
        <v>#N/A</v>
      </c>
      <c r="B439" t="e">
        <f>INDEX(resultados!$A$2:$ZZ$956, 433, MATCH($B$2, resultados!$A$1:$ZZ$1, 0))</f>
        <v>#N/A</v>
      </c>
      <c r="C439" t="e">
        <f>INDEX(resultados!$A$2:$ZZ$956, 433, MATCH($B$3, resultados!$A$1:$ZZ$1, 0))</f>
        <v>#N/A</v>
      </c>
    </row>
    <row r="440" spans="1:3" x14ac:dyDescent="0.3">
      <c r="A440" t="e">
        <f>INDEX(resultados!$A$2:$ZZ$956, 434, MATCH($B$1, resultados!$A$1:$ZZ$1, 0))</f>
        <v>#N/A</v>
      </c>
      <c r="B440" t="e">
        <f>INDEX(resultados!$A$2:$ZZ$956, 434, MATCH($B$2, resultados!$A$1:$ZZ$1, 0))</f>
        <v>#N/A</v>
      </c>
      <c r="C440" t="e">
        <f>INDEX(resultados!$A$2:$ZZ$956, 434, MATCH($B$3, resultados!$A$1:$ZZ$1, 0))</f>
        <v>#N/A</v>
      </c>
    </row>
    <row r="441" spans="1:3" x14ac:dyDescent="0.3">
      <c r="A441" t="e">
        <f>INDEX(resultados!$A$2:$ZZ$956, 435, MATCH($B$1, resultados!$A$1:$ZZ$1, 0))</f>
        <v>#N/A</v>
      </c>
      <c r="B441" t="e">
        <f>INDEX(resultados!$A$2:$ZZ$956, 435, MATCH($B$2, resultados!$A$1:$ZZ$1, 0))</f>
        <v>#N/A</v>
      </c>
      <c r="C441" t="e">
        <f>INDEX(resultados!$A$2:$ZZ$956, 435, MATCH($B$3, resultados!$A$1:$ZZ$1, 0))</f>
        <v>#N/A</v>
      </c>
    </row>
    <row r="442" spans="1:3" x14ac:dyDescent="0.3">
      <c r="A442" t="e">
        <f>INDEX(resultados!$A$2:$ZZ$956, 436, MATCH($B$1, resultados!$A$1:$ZZ$1, 0))</f>
        <v>#N/A</v>
      </c>
      <c r="B442" t="e">
        <f>INDEX(resultados!$A$2:$ZZ$956, 436, MATCH($B$2, resultados!$A$1:$ZZ$1, 0))</f>
        <v>#N/A</v>
      </c>
      <c r="C442" t="e">
        <f>INDEX(resultados!$A$2:$ZZ$956, 436, MATCH($B$3, resultados!$A$1:$ZZ$1, 0))</f>
        <v>#N/A</v>
      </c>
    </row>
    <row r="443" spans="1:3" x14ac:dyDescent="0.3">
      <c r="A443" t="e">
        <f>INDEX(resultados!$A$2:$ZZ$956, 437, MATCH($B$1, resultados!$A$1:$ZZ$1, 0))</f>
        <v>#N/A</v>
      </c>
      <c r="B443" t="e">
        <f>INDEX(resultados!$A$2:$ZZ$956, 437, MATCH($B$2, resultados!$A$1:$ZZ$1, 0))</f>
        <v>#N/A</v>
      </c>
      <c r="C443" t="e">
        <f>INDEX(resultados!$A$2:$ZZ$956, 437, MATCH($B$3, resultados!$A$1:$ZZ$1, 0))</f>
        <v>#N/A</v>
      </c>
    </row>
    <row r="444" spans="1:3" x14ac:dyDescent="0.3">
      <c r="A444" t="e">
        <f>INDEX(resultados!$A$2:$ZZ$956, 438, MATCH($B$1, resultados!$A$1:$ZZ$1, 0))</f>
        <v>#N/A</v>
      </c>
      <c r="B444" t="e">
        <f>INDEX(resultados!$A$2:$ZZ$956, 438, MATCH($B$2, resultados!$A$1:$ZZ$1, 0))</f>
        <v>#N/A</v>
      </c>
      <c r="C444" t="e">
        <f>INDEX(resultados!$A$2:$ZZ$956, 438, MATCH($B$3, resultados!$A$1:$ZZ$1, 0))</f>
        <v>#N/A</v>
      </c>
    </row>
    <row r="445" spans="1:3" x14ac:dyDescent="0.3">
      <c r="A445" t="e">
        <f>INDEX(resultados!$A$2:$ZZ$956, 439, MATCH($B$1, resultados!$A$1:$ZZ$1, 0))</f>
        <v>#N/A</v>
      </c>
      <c r="B445" t="e">
        <f>INDEX(resultados!$A$2:$ZZ$956, 439, MATCH($B$2, resultados!$A$1:$ZZ$1, 0))</f>
        <v>#N/A</v>
      </c>
      <c r="C445" t="e">
        <f>INDEX(resultados!$A$2:$ZZ$956, 439, MATCH($B$3, resultados!$A$1:$ZZ$1, 0))</f>
        <v>#N/A</v>
      </c>
    </row>
    <row r="446" spans="1:3" x14ac:dyDescent="0.3">
      <c r="A446" t="e">
        <f>INDEX(resultados!$A$2:$ZZ$956, 440, MATCH($B$1, resultados!$A$1:$ZZ$1, 0))</f>
        <v>#N/A</v>
      </c>
      <c r="B446" t="e">
        <f>INDEX(resultados!$A$2:$ZZ$956, 440, MATCH($B$2, resultados!$A$1:$ZZ$1, 0))</f>
        <v>#N/A</v>
      </c>
      <c r="C446" t="e">
        <f>INDEX(resultados!$A$2:$ZZ$956, 440, MATCH($B$3, resultados!$A$1:$ZZ$1, 0))</f>
        <v>#N/A</v>
      </c>
    </row>
    <row r="447" spans="1:3" x14ac:dyDescent="0.3">
      <c r="A447" t="e">
        <f>INDEX(resultados!$A$2:$ZZ$956, 441, MATCH($B$1, resultados!$A$1:$ZZ$1, 0))</f>
        <v>#N/A</v>
      </c>
      <c r="B447" t="e">
        <f>INDEX(resultados!$A$2:$ZZ$956, 441, MATCH($B$2, resultados!$A$1:$ZZ$1, 0))</f>
        <v>#N/A</v>
      </c>
      <c r="C447" t="e">
        <f>INDEX(resultados!$A$2:$ZZ$956, 441, MATCH($B$3, resultados!$A$1:$ZZ$1, 0))</f>
        <v>#N/A</v>
      </c>
    </row>
    <row r="448" spans="1:3" x14ac:dyDescent="0.3">
      <c r="A448" t="e">
        <f>INDEX(resultados!$A$2:$ZZ$956, 442, MATCH($B$1, resultados!$A$1:$ZZ$1, 0))</f>
        <v>#N/A</v>
      </c>
      <c r="B448" t="e">
        <f>INDEX(resultados!$A$2:$ZZ$956, 442, MATCH($B$2, resultados!$A$1:$ZZ$1, 0))</f>
        <v>#N/A</v>
      </c>
      <c r="C448" t="e">
        <f>INDEX(resultados!$A$2:$ZZ$956, 442, MATCH($B$3, resultados!$A$1:$ZZ$1, 0))</f>
        <v>#N/A</v>
      </c>
    </row>
    <row r="449" spans="1:3" x14ac:dyDescent="0.3">
      <c r="A449" t="e">
        <f>INDEX(resultados!$A$2:$ZZ$956, 443, MATCH($B$1, resultados!$A$1:$ZZ$1, 0))</f>
        <v>#N/A</v>
      </c>
      <c r="B449" t="e">
        <f>INDEX(resultados!$A$2:$ZZ$956, 443, MATCH($B$2, resultados!$A$1:$ZZ$1, 0))</f>
        <v>#N/A</v>
      </c>
      <c r="C449" t="e">
        <f>INDEX(resultados!$A$2:$ZZ$956, 443, MATCH($B$3, resultados!$A$1:$ZZ$1, 0))</f>
        <v>#N/A</v>
      </c>
    </row>
    <row r="450" spans="1:3" x14ac:dyDescent="0.3">
      <c r="A450" t="e">
        <f>INDEX(resultados!$A$2:$ZZ$956, 444, MATCH($B$1, resultados!$A$1:$ZZ$1, 0))</f>
        <v>#N/A</v>
      </c>
      <c r="B450" t="e">
        <f>INDEX(resultados!$A$2:$ZZ$956, 444, MATCH($B$2, resultados!$A$1:$ZZ$1, 0))</f>
        <v>#N/A</v>
      </c>
      <c r="C450" t="e">
        <f>INDEX(resultados!$A$2:$ZZ$956, 444, MATCH($B$3, resultados!$A$1:$ZZ$1, 0))</f>
        <v>#N/A</v>
      </c>
    </row>
    <row r="451" spans="1:3" x14ac:dyDescent="0.3">
      <c r="A451" t="e">
        <f>INDEX(resultados!$A$2:$ZZ$956, 445, MATCH($B$1, resultados!$A$1:$ZZ$1, 0))</f>
        <v>#N/A</v>
      </c>
      <c r="B451" t="e">
        <f>INDEX(resultados!$A$2:$ZZ$956, 445, MATCH($B$2, resultados!$A$1:$ZZ$1, 0))</f>
        <v>#N/A</v>
      </c>
      <c r="C451" t="e">
        <f>INDEX(resultados!$A$2:$ZZ$956, 445, MATCH($B$3, resultados!$A$1:$ZZ$1, 0))</f>
        <v>#N/A</v>
      </c>
    </row>
    <row r="452" spans="1:3" x14ac:dyDescent="0.3">
      <c r="A452" t="e">
        <f>INDEX(resultados!$A$2:$ZZ$956, 446, MATCH($B$1, resultados!$A$1:$ZZ$1, 0))</f>
        <v>#N/A</v>
      </c>
      <c r="B452" t="e">
        <f>INDEX(resultados!$A$2:$ZZ$956, 446, MATCH($B$2, resultados!$A$1:$ZZ$1, 0))</f>
        <v>#N/A</v>
      </c>
      <c r="C452" t="e">
        <f>INDEX(resultados!$A$2:$ZZ$956, 446, MATCH($B$3, resultados!$A$1:$ZZ$1, 0))</f>
        <v>#N/A</v>
      </c>
    </row>
    <row r="453" spans="1:3" x14ac:dyDescent="0.3">
      <c r="A453" t="e">
        <f>INDEX(resultados!$A$2:$ZZ$956, 447, MATCH($B$1, resultados!$A$1:$ZZ$1, 0))</f>
        <v>#N/A</v>
      </c>
      <c r="B453" t="e">
        <f>INDEX(resultados!$A$2:$ZZ$956, 447, MATCH($B$2, resultados!$A$1:$ZZ$1, 0))</f>
        <v>#N/A</v>
      </c>
      <c r="C453" t="e">
        <f>INDEX(resultados!$A$2:$ZZ$956, 447, MATCH($B$3, resultados!$A$1:$ZZ$1, 0))</f>
        <v>#N/A</v>
      </c>
    </row>
    <row r="454" spans="1:3" x14ac:dyDescent="0.3">
      <c r="A454" t="e">
        <f>INDEX(resultados!$A$2:$ZZ$956, 448, MATCH($B$1, resultados!$A$1:$ZZ$1, 0))</f>
        <v>#N/A</v>
      </c>
      <c r="B454" t="e">
        <f>INDEX(resultados!$A$2:$ZZ$956, 448, MATCH($B$2, resultados!$A$1:$ZZ$1, 0))</f>
        <v>#N/A</v>
      </c>
      <c r="C454" t="e">
        <f>INDEX(resultados!$A$2:$ZZ$956, 448, MATCH($B$3, resultados!$A$1:$ZZ$1, 0))</f>
        <v>#N/A</v>
      </c>
    </row>
    <row r="455" spans="1:3" x14ac:dyDescent="0.3">
      <c r="A455" t="e">
        <f>INDEX(resultados!$A$2:$ZZ$956, 449, MATCH($B$1, resultados!$A$1:$ZZ$1, 0))</f>
        <v>#N/A</v>
      </c>
      <c r="B455" t="e">
        <f>INDEX(resultados!$A$2:$ZZ$956, 449, MATCH($B$2, resultados!$A$1:$ZZ$1, 0))</f>
        <v>#N/A</v>
      </c>
      <c r="C455" t="e">
        <f>INDEX(resultados!$A$2:$ZZ$956, 449, MATCH($B$3, resultados!$A$1:$ZZ$1, 0))</f>
        <v>#N/A</v>
      </c>
    </row>
    <row r="456" spans="1:3" x14ac:dyDescent="0.3">
      <c r="A456" t="e">
        <f>INDEX(resultados!$A$2:$ZZ$956, 450, MATCH($B$1, resultados!$A$1:$ZZ$1, 0))</f>
        <v>#N/A</v>
      </c>
      <c r="B456" t="e">
        <f>INDEX(resultados!$A$2:$ZZ$956, 450, MATCH($B$2, resultados!$A$1:$ZZ$1, 0))</f>
        <v>#N/A</v>
      </c>
      <c r="C456" t="e">
        <f>INDEX(resultados!$A$2:$ZZ$956, 450, MATCH($B$3, resultados!$A$1:$ZZ$1, 0))</f>
        <v>#N/A</v>
      </c>
    </row>
    <row r="457" spans="1:3" x14ac:dyDescent="0.3">
      <c r="A457" t="e">
        <f>INDEX(resultados!$A$2:$ZZ$956, 451, MATCH($B$1, resultados!$A$1:$ZZ$1, 0))</f>
        <v>#N/A</v>
      </c>
      <c r="B457" t="e">
        <f>INDEX(resultados!$A$2:$ZZ$956, 451, MATCH($B$2, resultados!$A$1:$ZZ$1, 0))</f>
        <v>#N/A</v>
      </c>
      <c r="C457" t="e">
        <f>INDEX(resultados!$A$2:$ZZ$956, 451, MATCH($B$3, resultados!$A$1:$ZZ$1, 0))</f>
        <v>#N/A</v>
      </c>
    </row>
    <row r="458" spans="1:3" x14ac:dyDescent="0.3">
      <c r="A458" t="e">
        <f>INDEX(resultados!$A$2:$ZZ$956, 452, MATCH($B$1, resultados!$A$1:$ZZ$1, 0))</f>
        <v>#N/A</v>
      </c>
      <c r="B458" t="e">
        <f>INDEX(resultados!$A$2:$ZZ$956, 452, MATCH($B$2, resultados!$A$1:$ZZ$1, 0))</f>
        <v>#N/A</v>
      </c>
      <c r="C458" t="e">
        <f>INDEX(resultados!$A$2:$ZZ$956, 452, MATCH($B$3, resultados!$A$1:$ZZ$1, 0))</f>
        <v>#N/A</v>
      </c>
    </row>
    <row r="459" spans="1:3" x14ac:dyDescent="0.3">
      <c r="A459" t="e">
        <f>INDEX(resultados!$A$2:$ZZ$956, 453, MATCH($B$1, resultados!$A$1:$ZZ$1, 0))</f>
        <v>#N/A</v>
      </c>
      <c r="B459" t="e">
        <f>INDEX(resultados!$A$2:$ZZ$956, 453, MATCH($B$2, resultados!$A$1:$ZZ$1, 0))</f>
        <v>#N/A</v>
      </c>
      <c r="C459" t="e">
        <f>INDEX(resultados!$A$2:$ZZ$956, 453, MATCH($B$3, resultados!$A$1:$ZZ$1, 0))</f>
        <v>#N/A</v>
      </c>
    </row>
    <row r="460" spans="1:3" x14ac:dyDescent="0.3">
      <c r="A460" t="e">
        <f>INDEX(resultados!$A$2:$ZZ$956, 454, MATCH($B$1, resultados!$A$1:$ZZ$1, 0))</f>
        <v>#N/A</v>
      </c>
      <c r="B460" t="e">
        <f>INDEX(resultados!$A$2:$ZZ$956, 454, MATCH($B$2, resultados!$A$1:$ZZ$1, 0))</f>
        <v>#N/A</v>
      </c>
      <c r="C460" t="e">
        <f>INDEX(resultados!$A$2:$ZZ$956, 454, MATCH($B$3, resultados!$A$1:$ZZ$1, 0))</f>
        <v>#N/A</v>
      </c>
    </row>
    <row r="461" spans="1:3" x14ac:dyDescent="0.3">
      <c r="A461" t="e">
        <f>INDEX(resultados!$A$2:$ZZ$956, 455, MATCH($B$1, resultados!$A$1:$ZZ$1, 0))</f>
        <v>#N/A</v>
      </c>
      <c r="B461" t="e">
        <f>INDEX(resultados!$A$2:$ZZ$956, 455, MATCH($B$2, resultados!$A$1:$ZZ$1, 0))</f>
        <v>#N/A</v>
      </c>
      <c r="C461" t="e">
        <f>INDEX(resultados!$A$2:$ZZ$956, 455, MATCH($B$3, resultados!$A$1:$ZZ$1, 0))</f>
        <v>#N/A</v>
      </c>
    </row>
    <row r="462" spans="1:3" x14ac:dyDescent="0.3">
      <c r="A462" t="e">
        <f>INDEX(resultados!$A$2:$ZZ$956, 456, MATCH($B$1, resultados!$A$1:$ZZ$1, 0))</f>
        <v>#N/A</v>
      </c>
      <c r="B462" t="e">
        <f>INDEX(resultados!$A$2:$ZZ$956, 456, MATCH($B$2, resultados!$A$1:$ZZ$1, 0))</f>
        <v>#N/A</v>
      </c>
      <c r="C462" t="e">
        <f>INDEX(resultados!$A$2:$ZZ$956, 456, MATCH($B$3, resultados!$A$1:$ZZ$1, 0))</f>
        <v>#N/A</v>
      </c>
    </row>
    <row r="463" spans="1:3" x14ac:dyDescent="0.3">
      <c r="A463" t="e">
        <f>INDEX(resultados!$A$2:$ZZ$956, 457, MATCH($B$1, resultados!$A$1:$ZZ$1, 0))</f>
        <v>#N/A</v>
      </c>
      <c r="B463" t="e">
        <f>INDEX(resultados!$A$2:$ZZ$956, 457, MATCH($B$2, resultados!$A$1:$ZZ$1, 0))</f>
        <v>#N/A</v>
      </c>
      <c r="C463" t="e">
        <f>INDEX(resultados!$A$2:$ZZ$956, 457, MATCH($B$3, resultados!$A$1:$ZZ$1, 0))</f>
        <v>#N/A</v>
      </c>
    </row>
    <row r="464" spans="1:3" x14ac:dyDescent="0.3">
      <c r="A464" t="e">
        <f>INDEX(resultados!$A$2:$ZZ$956, 458, MATCH($B$1, resultados!$A$1:$ZZ$1, 0))</f>
        <v>#N/A</v>
      </c>
      <c r="B464" t="e">
        <f>INDEX(resultados!$A$2:$ZZ$956, 458, MATCH($B$2, resultados!$A$1:$ZZ$1, 0))</f>
        <v>#N/A</v>
      </c>
      <c r="C464" t="e">
        <f>INDEX(resultados!$A$2:$ZZ$956, 458, MATCH($B$3, resultados!$A$1:$ZZ$1, 0))</f>
        <v>#N/A</v>
      </c>
    </row>
    <row r="465" spans="1:3" x14ac:dyDescent="0.3">
      <c r="A465" t="e">
        <f>INDEX(resultados!$A$2:$ZZ$956, 459, MATCH($B$1, resultados!$A$1:$ZZ$1, 0))</f>
        <v>#N/A</v>
      </c>
      <c r="B465" t="e">
        <f>INDEX(resultados!$A$2:$ZZ$956, 459, MATCH($B$2, resultados!$A$1:$ZZ$1, 0))</f>
        <v>#N/A</v>
      </c>
      <c r="C465" t="e">
        <f>INDEX(resultados!$A$2:$ZZ$956, 459, MATCH($B$3, resultados!$A$1:$ZZ$1, 0))</f>
        <v>#N/A</v>
      </c>
    </row>
    <row r="466" spans="1:3" x14ac:dyDescent="0.3">
      <c r="A466" t="e">
        <f>INDEX(resultados!$A$2:$ZZ$956, 460, MATCH($B$1, resultados!$A$1:$ZZ$1, 0))</f>
        <v>#N/A</v>
      </c>
      <c r="B466" t="e">
        <f>INDEX(resultados!$A$2:$ZZ$956, 460, MATCH($B$2, resultados!$A$1:$ZZ$1, 0))</f>
        <v>#N/A</v>
      </c>
      <c r="C466" t="e">
        <f>INDEX(resultados!$A$2:$ZZ$956, 460, MATCH($B$3, resultados!$A$1:$ZZ$1, 0))</f>
        <v>#N/A</v>
      </c>
    </row>
    <row r="467" spans="1:3" x14ac:dyDescent="0.3">
      <c r="A467" t="e">
        <f>INDEX(resultados!$A$2:$ZZ$956, 461, MATCH($B$1, resultados!$A$1:$ZZ$1, 0))</f>
        <v>#N/A</v>
      </c>
      <c r="B467" t="e">
        <f>INDEX(resultados!$A$2:$ZZ$956, 461, MATCH($B$2, resultados!$A$1:$ZZ$1, 0))</f>
        <v>#N/A</v>
      </c>
      <c r="C467" t="e">
        <f>INDEX(resultados!$A$2:$ZZ$956, 461, MATCH($B$3, resultados!$A$1:$ZZ$1, 0))</f>
        <v>#N/A</v>
      </c>
    </row>
    <row r="468" spans="1:3" x14ac:dyDescent="0.3">
      <c r="A468" t="e">
        <f>INDEX(resultados!$A$2:$ZZ$956, 462, MATCH($B$1, resultados!$A$1:$ZZ$1, 0))</f>
        <v>#N/A</v>
      </c>
      <c r="B468" t="e">
        <f>INDEX(resultados!$A$2:$ZZ$956, 462, MATCH($B$2, resultados!$A$1:$ZZ$1, 0))</f>
        <v>#N/A</v>
      </c>
      <c r="C468" t="e">
        <f>INDEX(resultados!$A$2:$ZZ$956, 462, MATCH($B$3, resultados!$A$1:$ZZ$1, 0))</f>
        <v>#N/A</v>
      </c>
    </row>
    <row r="469" spans="1:3" x14ac:dyDescent="0.3">
      <c r="A469" t="e">
        <f>INDEX(resultados!$A$2:$ZZ$956, 463, MATCH($B$1, resultados!$A$1:$ZZ$1, 0))</f>
        <v>#N/A</v>
      </c>
      <c r="B469" t="e">
        <f>INDEX(resultados!$A$2:$ZZ$956, 463, MATCH($B$2, resultados!$A$1:$ZZ$1, 0))</f>
        <v>#N/A</v>
      </c>
      <c r="C469" t="e">
        <f>INDEX(resultados!$A$2:$ZZ$956, 463, MATCH($B$3, resultados!$A$1:$ZZ$1, 0))</f>
        <v>#N/A</v>
      </c>
    </row>
    <row r="470" spans="1:3" x14ac:dyDescent="0.3">
      <c r="A470" t="e">
        <f>INDEX(resultados!$A$2:$ZZ$956, 464, MATCH($B$1, resultados!$A$1:$ZZ$1, 0))</f>
        <v>#N/A</v>
      </c>
      <c r="B470" t="e">
        <f>INDEX(resultados!$A$2:$ZZ$956, 464, MATCH($B$2, resultados!$A$1:$ZZ$1, 0))</f>
        <v>#N/A</v>
      </c>
      <c r="C470" t="e">
        <f>INDEX(resultados!$A$2:$ZZ$956, 464, MATCH($B$3, resultados!$A$1:$ZZ$1, 0))</f>
        <v>#N/A</v>
      </c>
    </row>
    <row r="471" spans="1:3" x14ac:dyDescent="0.3">
      <c r="A471" t="e">
        <f>INDEX(resultados!$A$2:$ZZ$956, 465, MATCH($B$1, resultados!$A$1:$ZZ$1, 0))</f>
        <v>#N/A</v>
      </c>
      <c r="B471" t="e">
        <f>INDEX(resultados!$A$2:$ZZ$956, 465, MATCH($B$2, resultados!$A$1:$ZZ$1, 0))</f>
        <v>#N/A</v>
      </c>
      <c r="C471" t="e">
        <f>INDEX(resultados!$A$2:$ZZ$956, 465, MATCH($B$3, resultados!$A$1:$ZZ$1, 0))</f>
        <v>#N/A</v>
      </c>
    </row>
    <row r="472" spans="1:3" x14ac:dyDescent="0.3">
      <c r="A472" t="e">
        <f>INDEX(resultados!$A$2:$ZZ$956, 466, MATCH($B$1, resultados!$A$1:$ZZ$1, 0))</f>
        <v>#N/A</v>
      </c>
      <c r="B472" t="e">
        <f>INDEX(resultados!$A$2:$ZZ$956, 466, MATCH($B$2, resultados!$A$1:$ZZ$1, 0))</f>
        <v>#N/A</v>
      </c>
      <c r="C472" t="e">
        <f>INDEX(resultados!$A$2:$ZZ$956, 466, MATCH($B$3, resultados!$A$1:$ZZ$1, 0))</f>
        <v>#N/A</v>
      </c>
    </row>
    <row r="473" spans="1:3" x14ac:dyDescent="0.3">
      <c r="A473" t="e">
        <f>INDEX(resultados!$A$2:$ZZ$956, 467, MATCH($B$1, resultados!$A$1:$ZZ$1, 0))</f>
        <v>#N/A</v>
      </c>
      <c r="B473" t="e">
        <f>INDEX(resultados!$A$2:$ZZ$956, 467, MATCH($B$2, resultados!$A$1:$ZZ$1, 0))</f>
        <v>#N/A</v>
      </c>
      <c r="C473" t="e">
        <f>INDEX(resultados!$A$2:$ZZ$956, 467, MATCH($B$3, resultados!$A$1:$ZZ$1, 0))</f>
        <v>#N/A</v>
      </c>
    </row>
    <row r="474" spans="1:3" x14ac:dyDescent="0.3">
      <c r="A474" t="e">
        <f>INDEX(resultados!$A$2:$ZZ$956, 468, MATCH($B$1, resultados!$A$1:$ZZ$1, 0))</f>
        <v>#N/A</v>
      </c>
      <c r="B474" t="e">
        <f>INDEX(resultados!$A$2:$ZZ$956, 468, MATCH($B$2, resultados!$A$1:$ZZ$1, 0))</f>
        <v>#N/A</v>
      </c>
      <c r="C474" t="e">
        <f>INDEX(resultados!$A$2:$ZZ$956, 468, MATCH($B$3, resultados!$A$1:$ZZ$1, 0))</f>
        <v>#N/A</v>
      </c>
    </row>
    <row r="475" spans="1:3" x14ac:dyDescent="0.3">
      <c r="A475" t="e">
        <f>INDEX(resultados!$A$2:$ZZ$956, 469, MATCH($B$1, resultados!$A$1:$ZZ$1, 0))</f>
        <v>#N/A</v>
      </c>
      <c r="B475" t="e">
        <f>INDEX(resultados!$A$2:$ZZ$956, 469, MATCH($B$2, resultados!$A$1:$ZZ$1, 0))</f>
        <v>#N/A</v>
      </c>
      <c r="C475" t="e">
        <f>INDEX(resultados!$A$2:$ZZ$956, 469, MATCH($B$3, resultados!$A$1:$ZZ$1, 0))</f>
        <v>#N/A</v>
      </c>
    </row>
    <row r="476" spans="1:3" x14ac:dyDescent="0.3">
      <c r="A476" t="e">
        <f>INDEX(resultados!$A$2:$ZZ$956, 470, MATCH($B$1, resultados!$A$1:$ZZ$1, 0))</f>
        <v>#N/A</v>
      </c>
      <c r="B476" t="e">
        <f>INDEX(resultados!$A$2:$ZZ$956, 470, MATCH($B$2, resultados!$A$1:$ZZ$1, 0))</f>
        <v>#N/A</v>
      </c>
      <c r="C476" t="e">
        <f>INDEX(resultados!$A$2:$ZZ$956, 470, MATCH($B$3, resultados!$A$1:$ZZ$1, 0))</f>
        <v>#N/A</v>
      </c>
    </row>
    <row r="477" spans="1:3" x14ac:dyDescent="0.3">
      <c r="A477" t="e">
        <f>INDEX(resultados!$A$2:$ZZ$956, 471, MATCH($B$1, resultados!$A$1:$ZZ$1, 0))</f>
        <v>#N/A</v>
      </c>
      <c r="B477" t="e">
        <f>INDEX(resultados!$A$2:$ZZ$956, 471, MATCH($B$2, resultados!$A$1:$ZZ$1, 0))</f>
        <v>#N/A</v>
      </c>
      <c r="C477" t="e">
        <f>INDEX(resultados!$A$2:$ZZ$956, 471, MATCH($B$3, resultados!$A$1:$ZZ$1, 0))</f>
        <v>#N/A</v>
      </c>
    </row>
    <row r="478" spans="1:3" x14ac:dyDescent="0.3">
      <c r="A478" t="e">
        <f>INDEX(resultados!$A$2:$ZZ$956, 472, MATCH($B$1, resultados!$A$1:$ZZ$1, 0))</f>
        <v>#N/A</v>
      </c>
      <c r="B478" t="e">
        <f>INDEX(resultados!$A$2:$ZZ$956, 472, MATCH($B$2, resultados!$A$1:$ZZ$1, 0))</f>
        <v>#N/A</v>
      </c>
      <c r="C478" t="e">
        <f>INDEX(resultados!$A$2:$ZZ$956, 472, MATCH($B$3, resultados!$A$1:$ZZ$1, 0))</f>
        <v>#N/A</v>
      </c>
    </row>
    <row r="479" spans="1:3" x14ac:dyDescent="0.3">
      <c r="A479" t="e">
        <f>INDEX(resultados!$A$2:$ZZ$956, 473, MATCH($B$1, resultados!$A$1:$ZZ$1, 0))</f>
        <v>#N/A</v>
      </c>
      <c r="B479" t="e">
        <f>INDEX(resultados!$A$2:$ZZ$956, 473, MATCH($B$2, resultados!$A$1:$ZZ$1, 0))</f>
        <v>#N/A</v>
      </c>
      <c r="C479" t="e">
        <f>INDEX(resultados!$A$2:$ZZ$956, 473, MATCH($B$3, resultados!$A$1:$ZZ$1, 0))</f>
        <v>#N/A</v>
      </c>
    </row>
    <row r="480" spans="1:3" x14ac:dyDescent="0.3">
      <c r="A480" t="e">
        <f>INDEX(resultados!$A$2:$ZZ$956, 474, MATCH($B$1, resultados!$A$1:$ZZ$1, 0))</f>
        <v>#N/A</v>
      </c>
      <c r="B480" t="e">
        <f>INDEX(resultados!$A$2:$ZZ$956, 474, MATCH($B$2, resultados!$A$1:$ZZ$1, 0))</f>
        <v>#N/A</v>
      </c>
      <c r="C480" t="e">
        <f>INDEX(resultados!$A$2:$ZZ$956, 474, MATCH($B$3, resultados!$A$1:$ZZ$1, 0))</f>
        <v>#N/A</v>
      </c>
    </row>
    <row r="481" spans="1:3" x14ac:dyDescent="0.3">
      <c r="A481" t="e">
        <f>INDEX(resultados!$A$2:$ZZ$956, 475, MATCH($B$1, resultados!$A$1:$ZZ$1, 0))</f>
        <v>#N/A</v>
      </c>
      <c r="B481" t="e">
        <f>INDEX(resultados!$A$2:$ZZ$956, 475, MATCH($B$2, resultados!$A$1:$ZZ$1, 0))</f>
        <v>#N/A</v>
      </c>
      <c r="C481" t="e">
        <f>INDEX(resultados!$A$2:$ZZ$956, 475, MATCH($B$3, resultados!$A$1:$ZZ$1, 0))</f>
        <v>#N/A</v>
      </c>
    </row>
    <row r="482" spans="1:3" x14ac:dyDescent="0.3">
      <c r="A482" t="e">
        <f>INDEX(resultados!$A$2:$ZZ$956, 476, MATCH($B$1, resultados!$A$1:$ZZ$1, 0))</f>
        <v>#N/A</v>
      </c>
      <c r="B482" t="e">
        <f>INDEX(resultados!$A$2:$ZZ$956, 476, MATCH($B$2, resultados!$A$1:$ZZ$1, 0))</f>
        <v>#N/A</v>
      </c>
      <c r="C482" t="e">
        <f>INDEX(resultados!$A$2:$ZZ$956, 476, MATCH($B$3, resultados!$A$1:$ZZ$1, 0))</f>
        <v>#N/A</v>
      </c>
    </row>
    <row r="483" spans="1:3" x14ac:dyDescent="0.3">
      <c r="A483" t="e">
        <f>INDEX(resultados!$A$2:$ZZ$956, 477, MATCH($B$1, resultados!$A$1:$ZZ$1, 0))</f>
        <v>#N/A</v>
      </c>
      <c r="B483" t="e">
        <f>INDEX(resultados!$A$2:$ZZ$956, 477, MATCH($B$2, resultados!$A$1:$ZZ$1, 0))</f>
        <v>#N/A</v>
      </c>
      <c r="C483" t="e">
        <f>INDEX(resultados!$A$2:$ZZ$956, 477, MATCH($B$3, resultados!$A$1:$ZZ$1, 0))</f>
        <v>#N/A</v>
      </c>
    </row>
    <row r="484" spans="1:3" x14ac:dyDescent="0.3">
      <c r="A484" t="e">
        <f>INDEX(resultados!$A$2:$ZZ$956, 478, MATCH($B$1, resultados!$A$1:$ZZ$1, 0))</f>
        <v>#N/A</v>
      </c>
      <c r="B484" t="e">
        <f>INDEX(resultados!$A$2:$ZZ$956, 478, MATCH($B$2, resultados!$A$1:$ZZ$1, 0))</f>
        <v>#N/A</v>
      </c>
      <c r="C484" t="e">
        <f>INDEX(resultados!$A$2:$ZZ$956, 478, MATCH($B$3, resultados!$A$1:$ZZ$1, 0))</f>
        <v>#N/A</v>
      </c>
    </row>
    <row r="485" spans="1:3" x14ac:dyDescent="0.3">
      <c r="A485" t="e">
        <f>INDEX(resultados!$A$2:$ZZ$956, 479, MATCH($B$1, resultados!$A$1:$ZZ$1, 0))</f>
        <v>#N/A</v>
      </c>
      <c r="B485" t="e">
        <f>INDEX(resultados!$A$2:$ZZ$956, 479, MATCH($B$2, resultados!$A$1:$ZZ$1, 0))</f>
        <v>#N/A</v>
      </c>
      <c r="C485" t="e">
        <f>INDEX(resultados!$A$2:$ZZ$956, 479, MATCH($B$3, resultados!$A$1:$ZZ$1, 0))</f>
        <v>#N/A</v>
      </c>
    </row>
    <row r="486" spans="1:3" x14ac:dyDescent="0.3">
      <c r="A486" t="e">
        <f>INDEX(resultados!$A$2:$ZZ$956, 480, MATCH($B$1, resultados!$A$1:$ZZ$1, 0))</f>
        <v>#N/A</v>
      </c>
      <c r="B486" t="e">
        <f>INDEX(resultados!$A$2:$ZZ$956, 480, MATCH($B$2, resultados!$A$1:$ZZ$1, 0))</f>
        <v>#N/A</v>
      </c>
      <c r="C486" t="e">
        <f>INDEX(resultados!$A$2:$ZZ$956, 480, MATCH($B$3, resultados!$A$1:$ZZ$1, 0))</f>
        <v>#N/A</v>
      </c>
    </row>
    <row r="487" spans="1:3" x14ac:dyDescent="0.3">
      <c r="A487" t="e">
        <f>INDEX(resultados!$A$2:$ZZ$956, 481, MATCH($B$1, resultados!$A$1:$ZZ$1, 0))</f>
        <v>#N/A</v>
      </c>
      <c r="B487" t="e">
        <f>INDEX(resultados!$A$2:$ZZ$956, 481, MATCH($B$2, resultados!$A$1:$ZZ$1, 0))</f>
        <v>#N/A</v>
      </c>
      <c r="C487" t="e">
        <f>INDEX(resultados!$A$2:$ZZ$956, 481, MATCH($B$3, resultados!$A$1:$ZZ$1, 0))</f>
        <v>#N/A</v>
      </c>
    </row>
    <row r="488" spans="1:3" x14ac:dyDescent="0.3">
      <c r="A488" t="e">
        <f>INDEX(resultados!$A$2:$ZZ$956, 482, MATCH($B$1, resultados!$A$1:$ZZ$1, 0))</f>
        <v>#N/A</v>
      </c>
      <c r="B488" t="e">
        <f>INDEX(resultados!$A$2:$ZZ$956, 482, MATCH($B$2, resultados!$A$1:$ZZ$1, 0))</f>
        <v>#N/A</v>
      </c>
      <c r="C488" t="e">
        <f>INDEX(resultados!$A$2:$ZZ$956, 482, MATCH($B$3, resultados!$A$1:$ZZ$1, 0))</f>
        <v>#N/A</v>
      </c>
    </row>
    <row r="489" spans="1:3" x14ac:dyDescent="0.3">
      <c r="A489" t="e">
        <f>INDEX(resultados!$A$2:$ZZ$956, 483, MATCH($B$1, resultados!$A$1:$ZZ$1, 0))</f>
        <v>#N/A</v>
      </c>
      <c r="B489" t="e">
        <f>INDEX(resultados!$A$2:$ZZ$956, 483, MATCH($B$2, resultados!$A$1:$ZZ$1, 0))</f>
        <v>#N/A</v>
      </c>
      <c r="C489" t="e">
        <f>INDEX(resultados!$A$2:$ZZ$956, 483, MATCH($B$3, resultados!$A$1:$ZZ$1, 0))</f>
        <v>#N/A</v>
      </c>
    </row>
    <row r="490" spans="1:3" x14ac:dyDescent="0.3">
      <c r="A490" t="e">
        <f>INDEX(resultados!$A$2:$ZZ$956, 484, MATCH($B$1, resultados!$A$1:$ZZ$1, 0))</f>
        <v>#N/A</v>
      </c>
      <c r="B490" t="e">
        <f>INDEX(resultados!$A$2:$ZZ$956, 484, MATCH($B$2, resultados!$A$1:$ZZ$1, 0))</f>
        <v>#N/A</v>
      </c>
      <c r="C490" t="e">
        <f>INDEX(resultados!$A$2:$ZZ$956, 484, MATCH($B$3, resultados!$A$1:$ZZ$1, 0))</f>
        <v>#N/A</v>
      </c>
    </row>
    <row r="491" spans="1:3" x14ac:dyDescent="0.3">
      <c r="A491" t="e">
        <f>INDEX(resultados!$A$2:$ZZ$956, 485, MATCH($B$1, resultados!$A$1:$ZZ$1, 0))</f>
        <v>#N/A</v>
      </c>
      <c r="B491" t="e">
        <f>INDEX(resultados!$A$2:$ZZ$956, 485, MATCH($B$2, resultados!$A$1:$ZZ$1, 0))</f>
        <v>#N/A</v>
      </c>
      <c r="C491" t="e">
        <f>INDEX(resultados!$A$2:$ZZ$956, 485, MATCH($B$3, resultados!$A$1:$ZZ$1, 0))</f>
        <v>#N/A</v>
      </c>
    </row>
    <row r="492" spans="1:3" x14ac:dyDescent="0.3">
      <c r="A492" t="e">
        <f>INDEX(resultados!$A$2:$ZZ$956, 486, MATCH($B$1, resultados!$A$1:$ZZ$1, 0))</f>
        <v>#N/A</v>
      </c>
      <c r="B492" t="e">
        <f>INDEX(resultados!$A$2:$ZZ$956, 486, MATCH($B$2, resultados!$A$1:$ZZ$1, 0))</f>
        <v>#N/A</v>
      </c>
      <c r="C492" t="e">
        <f>INDEX(resultados!$A$2:$ZZ$956, 486, MATCH($B$3, resultados!$A$1:$ZZ$1, 0))</f>
        <v>#N/A</v>
      </c>
    </row>
    <row r="493" spans="1:3" x14ac:dyDescent="0.3">
      <c r="A493" t="e">
        <f>INDEX(resultados!$A$2:$ZZ$956, 487, MATCH($B$1, resultados!$A$1:$ZZ$1, 0))</f>
        <v>#N/A</v>
      </c>
      <c r="B493" t="e">
        <f>INDEX(resultados!$A$2:$ZZ$956, 487, MATCH($B$2, resultados!$A$1:$ZZ$1, 0))</f>
        <v>#N/A</v>
      </c>
      <c r="C493" t="e">
        <f>INDEX(resultados!$A$2:$ZZ$956, 487, MATCH($B$3, resultados!$A$1:$ZZ$1, 0))</f>
        <v>#N/A</v>
      </c>
    </row>
    <row r="494" spans="1:3" x14ac:dyDescent="0.3">
      <c r="A494" t="e">
        <f>INDEX(resultados!$A$2:$ZZ$956, 488, MATCH($B$1, resultados!$A$1:$ZZ$1, 0))</f>
        <v>#N/A</v>
      </c>
      <c r="B494" t="e">
        <f>INDEX(resultados!$A$2:$ZZ$956, 488, MATCH($B$2, resultados!$A$1:$ZZ$1, 0))</f>
        <v>#N/A</v>
      </c>
      <c r="C494" t="e">
        <f>INDEX(resultados!$A$2:$ZZ$956, 488, MATCH($B$3, resultados!$A$1:$ZZ$1, 0))</f>
        <v>#N/A</v>
      </c>
    </row>
    <row r="495" spans="1:3" x14ac:dyDescent="0.3">
      <c r="A495" t="e">
        <f>INDEX(resultados!$A$2:$ZZ$956, 489, MATCH($B$1, resultados!$A$1:$ZZ$1, 0))</f>
        <v>#N/A</v>
      </c>
      <c r="B495" t="e">
        <f>INDEX(resultados!$A$2:$ZZ$956, 489, MATCH($B$2, resultados!$A$1:$ZZ$1, 0))</f>
        <v>#N/A</v>
      </c>
      <c r="C495" t="e">
        <f>INDEX(resultados!$A$2:$ZZ$956, 489, MATCH($B$3, resultados!$A$1:$ZZ$1, 0))</f>
        <v>#N/A</v>
      </c>
    </row>
    <row r="496" spans="1:3" x14ac:dyDescent="0.3">
      <c r="A496" t="e">
        <f>INDEX(resultados!$A$2:$ZZ$956, 490, MATCH($B$1, resultados!$A$1:$ZZ$1, 0))</f>
        <v>#N/A</v>
      </c>
      <c r="B496" t="e">
        <f>INDEX(resultados!$A$2:$ZZ$956, 490, MATCH($B$2, resultados!$A$1:$ZZ$1, 0))</f>
        <v>#N/A</v>
      </c>
      <c r="C496" t="e">
        <f>INDEX(resultados!$A$2:$ZZ$956, 490, MATCH($B$3, resultados!$A$1:$ZZ$1, 0))</f>
        <v>#N/A</v>
      </c>
    </row>
    <row r="497" spans="1:3" x14ac:dyDescent="0.3">
      <c r="A497" t="e">
        <f>INDEX(resultados!$A$2:$ZZ$956, 491, MATCH($B$1, resultados!$A$1:$ZZ$1, 0))</f>
        <v>#N/A</v>
      </c>
      <c r="B497" t="e">
        <f>INDEX(resultados!$A$2:$ZZ$956, 491, MATCH($B$2, resultados!$A$1:$ZZ$1, 0))</f>
        <v>#N/A</v>
      </c>
      <c r="C497" t="e">
        <f>INDEX(resultados!$A$2:$ZZ$956, 491, MATCH($B$3, resultados!$A$1:$ZZ$1, 0))</f>
        <v>#N/A</v>
      </c>
    </row>
    <row r="498" spans="1:3" x14ac:dyDescent="0.3">
      <c r="A498" t="e">
        <f>INDEX(resultados!$A$2:$ZZ$956, 492, MATCH($B$1, resultados!$A$1:$ZZ$1, 0))</f>
        <v>#N/A</v>
      </c>
      <c r="B498" t="e">
        <f>INDEX(resultados!$A$2:$ZZ$956, 492, MATCH($B$2, resultados!$A$1:$ZZ$1, 0))</f>
        <v>#N/A</v>
      </c>
      <c r="C498" t="e">
        <f>INDEX(resultados!$A$2:$ZZ$956, 492, MATCH($B$3, resultados!$A$1:$ZZ$1, 0))</f>
        <v>#N/A</v>
      </c>
    </row>
    <row r="499" spans="1:3" x14ac:dyDescent="0.3">
      <c r="A499" t="e">
        <f>INDEX(resultados!$A$2:$ZZ$956, 493, MATCH($B$1, resultados!$A$1:$ZZ$1, 0))</f>
        <v>#N/A</v>
      </c>
      <c r="B499" t="e">
        <f>INDEX(resultados!$A$2:$ZZ$956, 493, MATCH($B$2, resultados!$A$1:$ZZ$1, 0))</f>
        <v>#N/A</v>
      </c>
      <c r="C499" t="e">
        <f>INDEX(resultados!$A$2:$ZZ$956, 493, MATCH($B$3, resultados!$A$1:$ZZ$1, 0))</f>
        <v>#N/A</v>
      </c>
    </row>
    <row r="500" spans="1:3" x14ac:dyDescent="0.3">
      <c r="A500" t="e">
        <f>INDEX(resultados!$A$2:$ZZ$956, 494, MATCH($B$1, resultados!$A$1:$ZZ$1, 0))</f>
        <v>#N/A</v>
      </c>
      <c r="B500" t="e">
        <f>INDEX(resultados!$A$2:$ZZ$956, 494, MATCH($B$2, resultados!$A$1:$ZZ$1, 0))</f>
        <v>#N/A</v>
      </c>
      <c r="C500" t="e">
        <f>INDEX(resultados!$A$2:$ZZ$956, 494, MATCH($B$3, resultados!$A$1:$ZZ$1, 0))</f>
        <v>#N/A</v>
      </c>
    </row>
    <row r="501" spans="1:3" x14ac:dyDescent="0.3">
      <c r="A501" t="e">
        <f>INDEX(resultados!$A$2:$ZZ$956, 495, MATCH($B$1, resultados!$A$1:$ZZ$1, 0))</f>
        <v>#N/A</v>
      </c>
      <c r="B501" t="e">
        <f>INDEX(resultados!$A$2:$ZZ$956, 495, MATCH($B$2, resultados!$A$1:$ZZ$1, 0))</f>
        <v>#N/A</v>
      </c>
      <c r="C501" t="e">
        <f>INDEX(resultados!$A$2:$ZZ$956, 495, MATCH($B$3, resultados!$A$1:$ZZ$1, 0))</f>
        <v>#N/A</v>
      </c>
    </row>
    <row r="502" spans="1:3" x14ac:dyDescent="0.3">
      <c r="A502" t="e">
        <f>INDEX(resultados!$A$2:$ZZ$956, 496, MATCH($B$1, resultados!$A$1:$ZZ$1, 0))</f>
        <v>#N/A</v>
      </c>
      <c r="B502" t="e">
        <f>INDEX(resultados!$A$2:$ZZ$956, 496, MATCH($B$2, resultados!$A$1:$ZZ$1, 0))</f>
        <v>#N/A</v>
      </c>
      <c r="C502" t="e">
        <f>INDEX(resultados!$A$2:$ZZ$956, 496, MATCH($B$3, resultados!$A$1:$ZZ$1, 0))</f>
        <v>#N/A</v>
      </c>
    </row>
    <row r="503" spans="1:3" x14ac:dyDescent="0.3">
      <c r="A503" t="e">
        <f>INDEX(resultados!$A$2:$ZZ$956, 497, MATCH($B$1, resultados!$A$1:$ZZ$1, 0))</f>
        <v>#N/A</v>
      </c>
      <c r="B503" t="e">
        <f>INDEX(resultados!$A$2:$ZZ$956, 497, MATCH($B$2, resultados!$A$1:$ZZ$1, 0))</f>
        <v>#N/A</v>
      </c>
      <c r="C503" t="e">
        <f>INDEX(resultados!$A$2:$ZZ$956, 497, MATCH($B$3, resultados!$A$1:$ZZ$1, 0))</f>
        <v>#N/A</v>
      </c>
    </row>
    <row r="504" spans="1:3" x14ac:dyDescent="0.3">
      <c r="A504" t="e">
        <f>INDEX(resultados!$A$2:$ZZ$956, 498, MATCH($B$1, resultados!$A$1:$ZZ$1, 0))</f>
        <v>#N/A</v>
      </c>
      <c r="B504" t="e">
        <f>INDEX(resultados!$A$2:$ZZ$956, 498, MATCH($B$2, resultados!$A$1:$ZZ$1, 0))</f>
        <v>#N/A</v>
      </c>
      <c r="C504" t="e">
        <f>INDEX(resultados!$A$2:$ZZ$956, 498, MATCH($B$3, resultados!$A$1:$ZZ$1, 0))</f>
        <v>#N/A</v>
      </c>
    </row>
    <row r="505" spans="1:3" x14ac:dyDescent="0.3">
      <c r="A505" t="e">
        <f>INDEX(resultados!$A$2:$ZZ$956, 499, MATCH($B$1, resultados!$A$1:$ZZ$1, 0))</f>
        <v>#N/A</v>
      </c>
      <c r="B505" t="e">
        <f>INDEX(resultados!$A$2:$ZZ$956, 499, MATCH($B$2, resultados!$A$1:$ZZ$1, 0))</f>
        <v>#N/A</v>
      </c>
      <c r="C505" t="e">
        <f>INDEX(resultados!$A$2:$ZZ$956, 499, MATCH($B$3, resultados!$A$1:$ZZ$1, 0))</f>
        <v>#N/A</v>
      </c>
    </row>
    <row r="506" spans="1:3" x14ac:dyDescent="0.3">
      <c r="A506" t="e">
        <f>INDEX(resultados!$A$2:$ZZ$956, 500, MATCH($B$1, resultados!$A$1:$ZZ$1, 0))</f>
        <v>#N/A</v>
      </c>
      <c r="B506" t="e">
        <f>INDEX(resultados!$A$2:$ZZ$956, 500, MATCH($B$2, resultados!$A$1:$ZZ$1, 0))</f>
        <v>#N/A</v>
      </c>
      <c r="C506" t="e">
        <f>INDEX(resultados!$A$2:$ZZ$956, 500, MATCH($B$3, resultados!$A$1:$ZZ$1, 0))</f>
        <v>#N/A</v>
      </c>
    </row>
    <row r="507" spans="1:3" x14ac:dyDescent="0.3">
      <c r="A507" t="e">
        <f>INDEX(resultados!$A$2:$ZZ$956, 501, MATCH($B$1, resultados!$A$1:$ZZ$1, 0))</f>
        <v>#N/A</v>
      </c>
      <c r="B507" t="e">
        <f>INDEX(resultados!$A$2:$ZZ$956, 501, MATCH($B$2, resultados!$A$1:$ZZ$1, 0))</f>
        <v>#N/A</v>
      </c>
      <c r="C507" t="e">
        <f>INDEX(resultados!$A$2:$ZZ$956, 501, MATCH($B$3, resultados!$A$1:$ZZ$1, 0))</f>
        <v>#N/A</v>
      </c>
    </row>
    <row r="508" spans="1:3" x14ac:dyDescent="0.3">
      <c r="A508" t="e">
        <f>INDEX(resultados!$A$2:$ZZ$956, 502, MATCH($B$1, resultados!$A$1:$ZZ$1, 0))</f>
        <v>#N/A</v>
      </c>
      <c r="B508" t="e">
        <f>INDEX(resultados!$A$2:$ZZ$956, 502, MATCH($B$2, resultados!$A$1:$ZZ$1, 0))</f>
        <v>#N/A</v>
      </c>
      <c r="C508" t="e">
        <f>INDEX(resultados!$A$2:$ZZ$956, 502, MATCH($B$3, resultados!$A$1:$ZZ$1, 0))</f>
        <v>#N/A</v>
      </c>
    </row>
    <row r="509" spans="1:3" x14ac:dyDescent="0.3">
      <c r="A509" t="e">
        <f>INDEX(resultados!$A$2:$ZZ$956, 503, MATCH($B$1, resultados!$A$1:$ZZ$1, 0))</f>
        <v>#N/A</v>
      </c>
      <c r="B509" t="e">
        <f>INDEX(resultados!$A$2:$ZZ$956, 503, MATCH($B$2, resultados!$A$1:$ZZ$1, 0))</f>
        <v>#N/A</v>
      </c>
      <c r="C509" t="e">
        <f>INDEX(resultados!$A$2:$ZZ$956, 503, MATCH($B$3, resultados!$A$1:$ZZ$1, 0))</f>
        <v>#N/A</v>
      </c>
    </row>
    <row r="510" spans="1:3" x14ac:dyDescent="0.3">
      <c r="A510" t="e">
        <f>INDEX(resultados!$A$2:$ZZ$956, 504, MATCH($B$1, resultados!$A$1:$ZZ$1, 0))</f>
        <v>#N/A</v>
      </c>
      <c r="B510" t="e">
        <f>INDEX(resultados!$A$2:$ZZ$956, 504, MATCH($B$2, resultados!$A$1:$ZZ$1, 0))</f>
        <v>#N/A</v>
      </c>
      <c r="C510" t="e">
        <f>INDEX(resultados!$A$2:$ZZ$956, 504, MATCH($B$3, resultados!$A$1:$ZZ$1, 0))</f>
        <v>#N/A</v>
      </c>
    </row>
    <row r="511" spans="1:3" x14ac:dyDescent="0.3">
      <c r="A511" t="e">
        <f>INDEX(resultados!$A$2:$ZZ$956, 505, MATCH($B$1, resultados!$A$1:$ZZ$1, 0))</f>
        <v>#N/A</v>
      </c>
      <c r="B511" t="e">
        <f>INDEX(resultados!$A$2:$ZZ$956, 505, MATCH($B$2, resultados!$A$1:$ZZ$1, 0))</f>
        <v>#N/A</v>
      </c>
      <c r="C511" t="e">
        <f>INDEX(resultados!$A$2:$ZZ$956, 505, MATCH($B$3, resultados!$A$1:$ZZ$1, 0))</f>
        <v>#N/A</v>
      </c>
    </row>
    <row r="512" spans="1:3" x14ac:dyDescent="0.3">
      <c r="A512" t="e">
        <f>INDEX(resultados!$A$2:$ZZ$956, 506, MATCH($B$1, resultados!$A$1:$ZZ$1, 0))</f>
        <v>#N/A</v>
      </c>
      <c r="B512" t="e">
        <f>INDEX(resultados!$A$2:$ZZ$956, 506, MATCH($B$2, resultados!$A$1:$ZZ$1, 0))</f>
        <v>#N/A</v>
      </c>
      <c r="C512" t="e">
        <f>INDEX(resultados!$A$2:$ZZ$956, 506, MATCH($B$3, resultados!$A$1:$ZZ$1, 0))</f>
        <v>#N/A</v>
      </c>
    </row>
    <row r="513" spans="1:3" x14ac:dyDescent="0.3">
      <c r="A513" t="e">
        <f>INDEX(resultados!$A$2:$ZZ$956, 507, MATCH($B$1, resultados!$A$1:$ZZ$1, 0))</f>
        <v>#N/A</v>
      </c>
      <c r="B513" t="e">
        <f>INDEX(resultados!$A$2:$ZZ$956, 507, MATCH($B$2, resultados!$A$1:$ZZ$1, 0))</f>
        <v>#N/A</v>
      </c>
      <c r="C513" t="e">
        <f>INDEX(resultados!$A$2:$ZZ$956, 507, MATCH($B$3, resultados!$A$1:$ZZ$1, 0))</f>
        <v>#N/A</v>
      </c>
    </row>
    <row r="514" spans="1:3" x14ac:dyDescent="0.3">
      <c r="A514" t="e">
        <f>INDEX(resultados!$A$2:$ZZ$956, 508, MATCH($B$1, resultados!$A$1:$ZZ$1, 0))</f>
        <v>#N/A</v>
      </c>
      <c r="B514" t="e">
        <f>INDEX(resultados!$A$2:$ZZ$956, 508, MATCH($B$2, resultados!$A$1:$ZZ$1, 0))</f>
        <v>#N/A</v>
      </c>
      <c r="C514" t="e">
        <f>INDEX(resultados!$A$2:$ZZ$956, 508, MATCH($B$3, resultados!$A$1:$ZZ$1, 0))</f>
        <v>#N/A</v>
      </c>
    </row>
    <row r="515" spans="1:3" x14ac:dyDescent="0.3">
      <c r="A515" t="e">
        <f>INDEX(resultados!$A$2:$ZZ$956, 509, MATCH($B$1, resultados!$A$1:$ZZ$1, 0))</f>
        <v>#N/A</v>
      </c>
      <c r="B515" t="e">
        <f>INDEX(resultados!$A$2:$ZZ$956, 509, MATCH($B$2, resultados!$A$1:$ZZ$1, 0))</f>
        <v>#N/A</v>
      </c>
      <c r="C515" t="e">
        <f>INDEX(resultados!$A$2:$ZZ$956, 509, MATCH($B$3, resultados!$A$1:$ZZ$1, 0))</f>
        <v>#N/A</v>
      </c>
    </row>
    <row r="516" spans="1:3" x14ac:dyDescent="0.3">
      <c r="A516" t="e">
        <f>INDEX(resultados!$A$2:$ZZ$956, 510, MATCH($B$1, resultados!$A$1:$ZZ$1, 0))</f>
        <v>#N/A</v>
      </c>
      <c r="B516" t="e">
        <f>INDEX(resultados!$A$2:$ZZ$956, 510, MATCH($B$2, resultados!$A$1:$ZZ$1, 0))</f>
        <v>#N/A</v>
      </c>
      <c r="C516" t="e">
        <f>INDEX(resultados!$A$2:$ZZ$956, 510, MATCH($B$3, resultados!$A$1:$ZZ$1, 0))</f>
        <v>#N/A</v>
      </c>
    </row>
    <row r="517" spans="1:3" x14ac:dyDescent="0.3">
      <c r="A517" t="e">
        <f>INDEX(resultados!$A$2:$ZZ$956, 511, MATCH($B$1, resultados!$A$1:$ZZ$1, 0))</f>
        <v>#N/A</v>
      </c>
      <c r="B517" t="e">
        <f>INDEX(resultados!$A$2:$ZZ$956, 511, MATCH($B$2, resultados!$A$1:$ZZ$1, 0))</f>
        <v>#N/A</v>
      </c>
      <c r="C517" t="e">
        <f>INDEX(resultados!$A$2:$ZZ$956, 511, MATCH($B$3, resultados!$A$1:$ZZ$1, 0))</f>
        <v>#N/A</v>
      </c>
    </row>
    <row r="518" spans="1:3" x14ac:dyDescent="0.3">
      <c r="A518" t="e">
        <f>INDEX(resultados!$A$2:$ZZ$956, 512, MATCH($B$1, resultados!$A$1:$ZZ$1, 0))</f>
        <v>#N/A</v>
      </c>
      <c r="B518" t="e">
        <f>INDEX(resultados!$A$2:$ZZ$956, 512, MATCH($B$2, resultados!$A$1:$ZZ$1, 0))</f>
        <v>#N/A</v>
      </c>
      <c r="C518" t="e">
        <f>INDEX(resultados!$A$2:$ZZ$956, 512, MATCH($B$3, resultados!$A$1:$ZZ$1, 0))</f>
        <v>#N/A</v>
      </c>
    </row>
    <row r="519" spans="1:3" x14ac:dyDescent="0.3">
      <c r="A519" t="e">
        <f>INDEX(resultados!$A$2:$ZZ$956, 513, MATCH($B$1, resultados!$A$1:$ZZ$1, 0))</f>
        <v>#N/A</v>
      </c>
      <c r="B519" t="e">
        <f>INDEX(resultados!$A$2:$ZZ$956, 513, MATCH($B$2, resultados!$A$1:$ZZ$1, 0))</f>
        <v>#N/A</v>
      </c>
      <c r="C519" t="e">
        <f>INDEX(resultados!$A$2:$ZZ$956, 513, MATCH($B$3, resultados!$A$1:$ZZ$1, 0))</f>
        <v>#N/A</v>
      </c>
    </row>
    <row r="520" spans="1:3" x14ac:dyDescent="0.3">
      <c r="A520" t="e">
        <f>INDEX(resultados!$A$2:$ZZ$956, 514, MATCH($B$1, resultados!$A$1:$ZZ$1, 0))</f>
        <v>#N/A</v>
      </c>
      <c r="B520" t="e">
        <f>INDEX(resultados!$A$2:$ZZ$956, 514, MATCH($B$2, resultados!$A$1:$ZZ$1, 0))</f>
        <v>#N/A</v>
      </c>
      <c r="C520" t="e">
        <f>INDEX(resultados!$A$2:$ZZ$956, 514, MATCH($B$3, resultados!$A$1:$ZZ$1, 0))</f>
        <v>#N/A</v>
      </c>
    </row>
    <row r="521" spans="1:3" x14ac:dyDescent="0.3">
      <c r="A521" t="e">
        <f>INDEX(resultados!$A$2:$ZZ$956, 515, MATCH($B$1, resultados!$A$1:$ZZ$1, 0))</f>
        <v>#N/A</v>
      </c>
      <c r="B521" t="e">
        <f>INDEX(resultados!$A$2:$ZZ$956, 515, MATCH($B$2, resultados!$A$1:$ZZ$1, 0))</f>
        <v>#N/A</v>
      </c>
      <c r="C521" t="e">
        <f>INDEX(resultados!$A$2:$ZZ$956, 515, MATCH($B$3, resultados!$A$1:$ZZ$1, 0))</f>
        <v>#N/A</v>
      </c>
    </row>
    <row r="522" spans="1:3" x14ac:dyDescent="0.3">
      <c r="A522" t="e">
        <f>INDEX(resultados!$A$2:$ZZ$956, 516, MATCH($B$1, resultados!$A$1:$ZZ$1, 0))</f>
        <v>#N/A</v>
      </c>
      <c r="B522" t="e">
        <f>INDEX(resultados!$A$2:$ZZ$956, 516, MATCH($B$2, resultados!$A$1:$ZZ$1, 0))</f>
        <v>#N/A</v>
      </c>
      <c r="C522" t="e">
        <f>INDEX(resultados!$A$2:$ZZ$956, 516, MATCH($B$3, resultados!$A$1:$ZZ$1, 0))</f>
        <v>#N/A</v>
      </c>
    </row>
    <row r="523" spans="1:3" x14ac:dyDescent="0.3">
      <c r="A523" t="e">
        <f>INDEX(resultados!$A$2:$ZZ$956, 517, MATCH($B$1, resultados!$A$1:$ZZ$1, 0))</f>
        <v>#N/A</v>
      </c>
      <c r="B523" t="e">
        <f>INDEX(resultados!$A$2:$ZZ$956, 517, MATCH($B$2, resultados!$A$1:$ZZ$1, 0))</f>
        <v>#N/A</v>
      </c>
      <c r="C523" t="e">
        <f>INDEX(resultados!$A$2:$ZZ$956, 517, MATCH($B$3, resultados!$A$1:$ZZ$1, 0))</f>
        <v>#N/A</v>
      </c>
    </row>
    <row r="524" spans="1:3" x14ac:dyDescent="0.3">
      <c r="A524" t="e">
        <f>INDEX(resultados!$A$2:$ZZ$956, 518, MATCH($B$1, resultados!$A$1:$ZZ$1, 0))</f>
        <v>#N/A</v>
      </c>
      <c r="B524" t="e">
        <f>INDEX(resultados!$A$2:$ZZ$956, 518, MATCH($B$2, resultados!$A$1:$ZZ$1, 0))</f>
        <v>#N/A</v>
      </c>
      <c r="C524" t="e">
        <f>INDEX(resultados!$A$2:$ZZ$956, 518, MATCH($B$3, resultados!$A$1:$ZZ$1, 0))</f>
        <v>#N/A</v>
      </c>
    </row>
    <row r="525" spans="1:3" x14ac:dyDescent="0.3">
      <c r="A525" t="e">
        <f>INDEX(resultados!$A$2:$ZZ$956, 519, MATCH($B$1, resultados!$A$1:$ZZ$1, 0))</f>
        <v>#N/A</v>
      </c>
      <c r="B525" t="e">
        <f>INDEX(resultados!$A$2:$ZZ$956, 519, MATCH($B$2, resultados!$A$1:$ZZ$1, 0))</f>
        <v>#N/A</v>
      </c>
      <c r="C525" t="e">
        <f>INDEX(resultados!$A$2:$ZZ$956, 519, MATCH($B$3, resultados!$A$1:$ZZ$1, 0))</f>
        <v>#N/A</v>
      </c>
    </row>
    <row r="526" spans="1:3" x14ac:dyDescent="0.3">
      <c r="A526" t="e">
        <f>INDEX(resultados!$A$2:$ZZ$956, 520, MATCH($B$1, resultados!$A$1:$ZZ$1, 0))</f>
        <v>#N/A</v>
      </c>
      <c r="B526" t="e">
        <f>INDEX(resultados!$A$2:$ZZ$956, 520, MATCH($B$2, resultados!$A$1:$ZZ$1, 0))</f>
        <v>#N/A</v>
      </c>
      <c r="C526" t="e">
        <f>INDEX(resultados!$A$2:$ZZ$956, 520, MATCH($B$3, resultados!$A$1:$ZZ$1, 0))</f>
        <v>#N/A</v>
      </c>
    </row>
    <row r="527" spans="1:3" x14ac:dyDescent="0.3">
      <c r="A527" t="e">
        <f>INDEX(resultados!$A$2:$ZZ$956, 521, MATCH($B$1, resultados!$A$1:$ZZ$1, 0))</f>
        <v>#N/A</v>
      </c>
      <c r="B527" t="e">
        <f>INDEX(resultados!$A$2:$ZZ$956, 521, MATCH($B$2, resultados!$A$1:$ZZ$1, 0))</f>
        <v>#N/A</v>
      </c>
      <c r="C527" t="e">
        <f>INDEX(resultados!$A$2:$ZZ$956, 521, MATCH($B$3, resultados!$A$1:$ZZ$1, 0))</f>
        <v>#N/A</v>
      </c>
    </row>
    <row r="528" spans="1:3" x14ac:dyDescent="0.3">
      <c r="A528" t="e">
        <f>INDEX(resultados!$A$2:$ZZ$956, 522, MATCH($B$1, resultados!$A$1:$ZZ$1, 0))</f>
        <v>#N/A</v>
      </c>
      <c r="B528" t="e">
        <f>INDEX(resultados!$A$2:$ZZ$956, 522, MATCH($B$2, resultados!$A$1:$ZZ$1, 0))</f>
        <v>#N/A</v>
      </c>
      <c r="C528" t="e">
        <f>INDEX(resultados!$A$2:$ZZ$956, 522, MATCH($B$3, resultados!$A$1:$ZZ$1, 0))</f>
        <v>#N/A</v>
      </c>
    </row>
    <row r="529" spans="1:3" x14ac:dyDescent="0.3">
      <c r="A529" t="e">
        <f>INDEX(resultados!$A$2:$ZZ$956, 523, MATCH($B$1, resultados!$A$1:$ZZ$1, 0))</f>
        <v>#N/A</v>
      </c>
      <c r="B529" t="e">
        <f>INDEX(resultados!$A$2:$ZZ$956, 523, MATCH($B$2, resultados!$A$1:$ZZ$1, 0))</f>
        <v>#N/A</v>
      </c>
      <c r="C529" t="e">
        <f>INDEX(resultados!$A$2:$ZZ$956, 523, MATCH($B$3, resultados!$A$1:$ZZ$1, 0))</f>
        <v>#N/A</v>
      </c>
    </row>
    <row r="530" spans="1:3" x14ac:dyDescent="0.3">
      <c r="A530" t="e">
        <f>INDEX(resultados!$A$2:$ZZ$956, 524, MATCH($B$1, resultados!$A$1:$ZZ$1, 0))</f>
        <v>#N/A</v>
      </c>
      <c r="B530" t="e">
        <f>INDEX(resultados!$A$2:$ZZ$956, 524, MATCH($B$2, resultados!$A$1:$ZZ$1, 0))</f>
        <v>#N/A</v>
      </c>
      <c r="C530" t="e">
        <f>INDEX(resultados!$A$2:$ZZ$956, 524, MATCH($B$3, resultados!$A$1:$ZZ$1, 0))</f>
        <v>#N/A</v>
      </c>
    </row>
    <row r="531" spans="1:3" x14ac:dyDescent="0.3">
      <c r="A531" t="e">
        <f>INDEX(resultados!$A$2:$ZZ$956, 525, MATCH($B$1, resultados!$A$1:$ZZ$1, 0))</f>
        <v>#N/A</v>
      </c>
      <c r="B531" t="e">
        <f>INDEX(resultados!$A$2:$ZZ$956, 525, MATCH($B$2, resultados!$A$1:$ZZ$1, 0))</f>
        <v>#N/A</v>
      </c>
      <c r="C531" t="e">
        <f>INDEX(resultados!$A$2:$ZZ$956, 525, MATCH($B$3, resultados!$A$1:$ZZ$1, 0))</f>
        <v>#N/A</v>
      </c>
    </row>
    <row r="532" spans="1:3" x14ac:dyDescent="0.3">
      <c r="A532" t="e">
        <f>INDEX(resultados!$A$2:$ZZ$956, 526, MATCH($B$1, resultados!$A$1:$ZZ$1, 0))</f>
        <v>#N/A</v>
      </c>
      <c r="B532" t="e">
        <f>INDEX(resultados!$A$2:$ZZ$956, 526, MATCH($B$2, resultados!$A$1:$ZZ$1, 0))</f>
        <v>#N/A</v>
      </c>
      <c r="C532" t="e">
        <f>INDEX(resultados!$A$2:$ZZ$956, 526, MATCH($B$3, resultados!$A$1:$ZZ$1, 0))</f>
        <v>#N/A</v>
      </c>
    </row>
    <row r="533" spans="1:3" x14ac:dyDescent="0.3">
      <c r="A533" t="e">
        <f>INDEX(resultados!$A$2:$ZZ$956, 527, MATCH($B$1, resultados!$A$1:$ZZ$1, 0))</f>
        <v>#N/A</v>
      </c>
      <c r="B533" t="e">
        <f>INDEX(resultados!$A$2:$ZZ$956, 527, MATCH($B$2, resultados!$A$1:$ZZ$1, 0))</f>
        <v>#N/A</v>
      </c>
      <c r="C533" t="e">
        <f>INDEX(resultados!$A$2:$ZZ$956, 527, MATCH($B$3, resultados!$A$1:$ZZ$1, 0))</f>
        <v>#N/A</v>
      </c>
    </row>
    <row r="534" spans="1:3" x14ac:dyDescent="0.3">
      <c r="A534" t="e">
        <f>INDEX(resultados!$A$2:$ZZ$956, 528, MATCH($B$1, resultados!$A$1:$ZZ$1, 0))</f>
        <v>#N/A</v>
      </c>
      <c r="B534" t="e">
        <f>INDEX(resultados!$A$2:$ZZ$956, 528, MATCH($B$2, resultados!$A$1:$ZZ$1, 0))</f>
        <v>#N/A</v>
      </c>
      <c r="C534" t="e">
        <f>INDEX(resultados!$A$2:$ZZ$956, 528, MATCH($B$3, resultados!$A$1:$ZZ$1, 0))</f>
        <v>#N/A</v>
      </c>
    </row>
    <row r="535" spans="1:3" x14ac:dyDescent="0.3">
      <c r="A535" t="e">
        <f>INDEX(resultados!$A$2:$ZZ$956, 529, MATCH($B$1, resultados!$A$1:$ZZ$1, 0))</f>
        <v>#N/A</v>
      </c>
      <c r="B535" t="e">
        <f>INDEX(resultados!$A$2:$ZZ$956, 529, MATCH($B$2, resultados!$A$1:$ZZ$1, 0))</f>
        <v>#N/A</v>
      </c>
      <c r="C535" t="e">
        <f>INDEX(resultados!$A$2:$ZZ$956, 529, MATCH($B$3, resultados!$A$1:$ZZ$1, 0))</f>
        <v>#N/A</v>
      </c>
    </row>
    <row r="536" spans="1:3" x14ac:dyDescent="0.3">
      <c r="A536" t="e">
        <f>INDEX(resultados!$A$2:$ZZ$956, 530, MATCH($B$1, resultados!$A$1:$ZZ$1, 0))</f>
        <v>#N/A</v>
      </c>
      <c r="B536" t="e">
        <f>INDEX(resultados!$A$2:$ZZ$956, 530, MATCH($B$2, resultados!$A$1:$ZZ$1, 0))</f>
        <v>#N/A</v>
      </c>
      <c r="C536" t="e">
        <f>INDEX(resultados!$A$2:$ZZ$956, 530, MATCH($B$3, resultados!$A$1:$ZZ$1, 0))</f>
        <v>#N/A</v>
      </c>
    </row>
    <row r="537" spans="1:3" x14ac:dyDescent="0.3">
      <c r="A537" t="e">
        <f>INDEX(resultados!$A$2:$ZZ$956, 531, MATCH($B$1, resultados!$A$1:$ZZ$1, 0))</f>
        <v>#N/A</v>
      </c>
      <c r="B537" t="e">
        <f>INDEX(resultados!$A$2:$ZZ$956, 531, MATCH($B$2, resultados!$A$1:$ZZ$1, 0))</f>
        <v>#N/A</v>
      </c>
      <c r="C537" t="e">
        <f>INDEX(resultados!$A$2:$ZZ$956, 531, MATCH($B$3, resultados!$A$1:$ZZ$1, 0))</f>
        <v>#N/A</v>
      </c>
    </row>
    <row r="538" spans="1:3" x14ac:dyDescent="0.3">
      <c r="A538" t="e">
        <f>INDEX(resultados!$A$2:$ZZ$956, 532, MATCH($B$1, resultados!$A$1:$ZZ$1, 0))</f>
        <v>#N/A</v>
      </c>
      <c r="B538" t="e">
        <f>INDEX(resultados!$A$2:$ZZ$956, 532, MATCH($B$2, resultados!$A$1:$ZZ$1, 0))</f>
        <v>#N/A</v>
      </c>
      <c r="C538" t="e">
        <f>INDEX(resultados!$A$2:$ZZ$956, 532, MATCH($B$3, resultados!$A$1:$ZZ$1, 0))</f>
        <v>#N/A</v>
      </c>
    </row>
    <row r="539" spans="1:3" x14ac:dyDescent="0.3">
      <c r="A539" t="e">
        <f>INDEX(resultados!$A$2:$ZZ$956, 533, MATCH($B$1, resultados!$A$1:$ZZ$1, 0))</f>
        <v>#N/A</v>
      </c>
      <c r="B539" t="e">
        <f>INDEX(resultados!$A$2:$ZZ$956, 533, MATCH($B$2, resultados!$A$1:$ZZ$1, 0))</f>
        <v>#N/A</v>
      </c>
      <c r="C539" t="e">
        <f>INDEX(resultados!$A$2:$ZZ$956, 533, MATCH($B$3, resultados!$A$1:$ZZ$1, 0))</f>
        <v>#N/A</v>
      </c>
    </row>
    <row r="540" spans="1:3" x14ac:dyDescent="0.3">
      <c r="A540" t="e">
        <f>INDEX(resultados!$A$2:$ZZ$956, 534, MATCH($B$1, resultados!$A$1:$ZZ$1, 0))</f>
        <v>#N/A</v>
      </c>
      <c r="B540" t="e">
        <f>INDEX(resultados!$A$2:$ZZ$956, 534, MATCH($B$2, resultados!$A$1:$ZZ$1, 0))</f>
        <v>#N/A</v>
      </c>
      <c r="C540" t="e">
        <f>INDEX(resultados!$A$2:$ZZ$956, 534, MATCH($B$3, resultados!$A$1:$ZZ$1, 0))</f>
        <v>#N/A</v>
      </c>
    </row>
    <row r="541" spans="1:3" x14ac:dyDescent="0.3">
      <c r="A541" t="e">
        <f>INDEX(resultados!$A$2:$ZZ$956, 535, MATCH($B$1, resultados!$A$1:$ZZ$1, 0))</f>
        <v>#N/A</v>
      </c>
      <c r="B541" t="e">
        <f>INDEX(resultados!$A$2:$ZZ$956, 535, MATCH($B$2, resultados!$A$1:$ZZ$1, 0))</f>
        <v>#N/A</v>
      </c>
      <c r="C541" t="e">
        <f>INDEX(resultados!$A$2:$ZZ$956, 535, MATCH($B$3, resultados!$A$1:$ZZ$1, 0))</f>
        <v>#N/A</v>
      </c>
    </row>
    <row r="542" spans="1:3" x14ac:dyDescent="0.3">
      <c r="A542" t="e">
        <f>INDEX(resultados!$A$2:$ZZ$956, 536, MATCH($B$1, resultados!$A$1:$ZZ$1, 0))</f>
        <v>#N/A</v>
      </c>
      <c r="B542" t="e">
        <f>INDEX(resultados!$A$2:$ZZ$956, 536, MATCH($B$2, resultados!$A$1:$ZZ$1, 0))</f>
        <v>#N/A</v>
      </c>
      <c r="C542" t="e">
        <f>INDEX(resultados!$A$2:$ZZ$956, 536, MATCH($B$3, resultados!$A$1:$ZZ$1, 0))</f>
        <v>#N/A</v>
      </c>
    </row>
    <row r="543" spans="1:3" x14ac:dyDescent="0.3">
      <c r="A543" t="e">
        <f>INDEX(resultados!$A$2:$ZZ$956, 537, MATCH($B$1, resultados!$A$1:$ZZ$1, 0))</f>
        <v>#N/A</v>
      </c>
      <c r="B543" t="e">
        <f>INDEX(resultados!$A$2:$ZZ$956, 537, MATCH($B$2, resultados!$A$1:$ZZ$1, 0))</f>
        <v>#N/A</v>
      </c>
      <c r="C543" t="e">
        <f>INDEX(resultados!$A$2:$ZZ$956, 537, MATCH($B$3, resultados!$A$1:$ZZ$1, 0))</f>
        <v>#N/A</v>
      </c>
    </row>
    <row r="544" spans="1:3" x14ac:dyDescent="0.3">
      <c r="A544" t="e">
        <f>INDEX(resultados!$A$2:$ZZ$956, 538, MATCH($B$1, resultados!$A$1:$ZZ$1, 0))</f>
        <v>#N/A</v>
      </c>
      <c r="B544" t="e">
        <f>INDEX(resultados!$A$2:$ZZ$956, 538, MATCH($B$2, resultados!$A$1:$ZZ$1, 0))</f>
        <v>#N/A</v>
      </c>
      <c r="C544" t="e">
        <f>INDEX(resultados!$A$2:$ZZ$956, 538, MATCH($B$3, resultados!$A$1:$ZZ$1, 0))</f>
        <v>#N/A</v>
      </c>
    </row>
    <row r="545" spans="1:3" x14ac:dyDescent="0.3">
      <c r="A545" t="e">
        <f>INDEX(resultados!$A$2:$ZZ$956, 539, MATCH($B$1, resultados!$A$1:$ZZ$1, 0))</f>
        <v>#N/A</v>
      </c>
      <c r="B545" t="e">
        <f>INDEX(resultados!$A$2:$ZZ$956, 539, MATCH($B$2, resultados!$A$1:$ZZ$1, 0))</f>
        <v>#N/A</v>
      </c>
      <c r="C545" t="e">
        <f>INDEX(resultados!$A$2:$ZZ$956, 539, MATCH($B$3, resultados!$A$1:$ZZ$1, 0))</f>
        <v>#N/A</v>
      </c>
    </row>
    <row r="546" spans="1:3" x14ac:dyDescent="0.3">
      <c r="A546" t="e">
        <f>INDEX(resultados!$A$2:$ZZ$956, 540, MATCH($B$1, resultados!$A$1:$ZZ$1, 0))</f>
        <v>#N/A</v>
      </c>
      <c r="B546" t="e">
        <f>INDEX(resultados!$A$2:$ZZ$956, 540, MATCH($B$2, resultados!$A$1:$ZZ$1, 0))</f>
        <v>#N/A</v>
      </c>
      <c r="C546" t="e">
        <f>INDEX(resultados!$A$2:$ZZ$956, 540, MATCH($B$3, resultados!$A$1:$ZZ$1, 0))</f>
        <v>#N/A</v>
      </c>
    </row>
    <row r="547" spans="1:3" x14ac:dyDescent="0.3">
      <c r="A547" t="e">
        <f>INDEX(resultados!$A$2:$ZZ$956, 541, MATCH($B$1, resultados!$A$1:$ZZ$1, 0))</f>
        <v>#N/A</v>
      </c>
      <c r="B547" t="e">
        <f>INDEX(resultados!$A$2:$ZZ$956, 541, MATCH($B$2, resultados!$A$1:$ZZ$1, 0))</f>
        <v>#N/A</v>
      </c>
      <c r="C547" t="e">
        <f>INDEX(resultados!$A$2:$ZZ$956, 541, MATCH($B$3, resultados!$A$1:$ZZ$1, 0))</f>
        <v>#N/A</v>
      </c>
    </row>
    <row r="548" spans="1:3" x14ac:dyDescent="0.3">
      <c r="A548" t="e">
        <f>INDEX(resultados!$A$2:$ZZ$956, 542, MATCH($B$1, resultados!$A$1:$ZZ$1, 0))</f>
        <v>#N/A</v>
      </c>
      <c r="B548" t="e">
        <f>INDEX(resultados!$A$2:$ZZ$956, 542, MATCH($B$2, resultados!$A$1:$ZZ$1, 0))</f>
        <v>#N/A</v>
      </c>
      <c r="C548" t="e">
        <f>INDEX(resultados!$A$2:$ZZ$956, 542, MATCH($B$3, resultados!$A$1:$ZZ$1, 0))</f>
        <v>#N/A</v>
      </c>
    </row>
    <row r="549" spans="1:3" x14ac:dyDescent="0.3">
      <c r="A549" t="e">
        <f>INDEX(resultados!$A$2:$ZZ$956, 543, MATCH($B$1, resultados!$A$1:$ZZ$1, 0))</f>
        <v>#N/A</v>
      </c>
      <c r="B549" t="e">
        <f>INDEX(resultados!$A$2:$ZZ$956, 543, MATCH($B$2, resultados!$A$1:$ZZ$1, 0))</f>
        <v>#N/A</v>
      </c>
      <c r="C549" t="e">
        <f>INDEX(resultados!$A$2:$ZZ$956, 543, MATCH($B$3, resultados!$A$1:$ZZ$1, 0))</f>
        <v>#N/A</v>
      </c>
    </row>
    <row r="550" spans="1:3" x14ac:dyDescent="0.3">
      <c r="A550" t="e">
        <f>INDEX(resultados!$A$2:$ZZ$956, 544, MATCH($B$1, resultados!$A$1:$ZZ$1, 0))</f>
        <v>#N/A</v>
      </c>
      <c r="B550" t="e">
        <f>INDEX(resultados!$A$2:$ZZ$956, 544, MATCH($B$2, resultados!$A$1:$ZZ$1, 0))</f>
        <v>#N/A</v>
      </c>
      <c r="C550" t="e">
        <f>INDEX(resultados!$A$2:$ZZ$956, 544, MATCH($B$3, resultados!$A$1:$ZZ$1, 0))</f>
        <v>#N/A</v>
      </c>
    </row>
    <row r="551" spans="1:3" x14ac:dyDescent="0.3">
      <c r="A551" t="e">
        <f>INDEX(resultados!$A$2:$ZZ$956, 545, MATCH($B$1, resultados!$A$1:$ZZ$1, 0))</f>
        <v>#N/A</v>
      </c>
      <c r="B551" t="e">
        <f>INDEX(resultados!$A$2:$ZZ$956, 545, MATCH($B$2, resultados!$A$1:$ZZ$1, 0))</f>
        <v>#N/A</v>
      </c>
      <c r="C551" t="e">
        <f>INDEX(resultados!$A$2:$ZZ$956, 545, MATCH($B$3, resultados!$A$1:$ZZ$1, 0))</f>
        <v>#N/A</v>
      </c>
    </row>
    <row r="552" spans="1:3" x14ac:dyDescent="0.3">
      <c r="A552" t="e">
        <f>INDEX(resultados!$A$2:$ZZ$956, 546, MATCH($B$1, resultados!$A$1:$ZZ$1, 0))</f>
        <v>#N/A</v>
      </c>
      <c r="B552" t="e">
        <f>INDEX(resultados!$A$2:$ZZ$956, 546, MATCH($B$2, resultados!$A$1:$ZZ$1, 0))</f>
        <v>#N/A</v>
      </c>
      <c r="C552" t="e">
        <f>INDEX(resultados!$A$2:$ZZ$956, 546, MATCH($B$3, resultados!$A$1:$ZZ$1, 0))</f>
        <v>#N/A</v>
      </c>
    </row>
    <row r="553" spans="1:3" x14ac:dyDescent="0.3">
      <c r="A553" t="e">
        <f>INDEX(resultados!$A$2:$ZZ$956, 547, MATCH($B$1, resultados!$A$1:$ZZ$1, 0))</f>
        <v>#N/A</v>
      </c>
      <c r="B553" t="e">
        <f>INDEX(resultados!$A$2:$ZZ$956, 547, MATCH($B$2, resultados!$A$1:$ZZ$1, 0))</f>
        <v>#N/A</v>
      </c>
      <c r="C553" t="e">
        <f>INDEX(resultados!$A$2:$ZZ$956, 547, MATCH($B$3, resultados!$A$1:$ZZ$1, 0))</f>
        <v>#N/A</v>
      </c>
    </row>
    <row r="554" spans="1:3" x14ac:dyDescent="0.3">
      <c r="A554" t="e">
        <f>INDEX(resultados!$A$2:$ZZ$956, 548, MATCH($B$1, resultados!$A$1:$ZZ$1, 0))</f>
        <v>#N/A</v>
      </c>
      <c r="B554" t="e">
        <f>INDEX(resultados!$A$2:$ZZ$956, 548, MATCH($B$2, resultados!$A$1:$ZZ$1, 0))</f>
        <v>#N/A</v>
      </c>
      <c r="C554" t="e">
        <f>INDEX(resultados!$A$2:$ZZ$956, 548, MATCH($B$3, resultados!$A$1:$ZZ$1, 0))</f>
        <v>#N/A</v>
      </c>
    </row>
    <row r="555" spans="1:3" x14ac:dyDescent="0.3">
      <c r="A555" t="e">
        <f>INDEX(resultados!$A$2:$ZZ$956, 549, MATCH($B$1, resultados!$A$1:$ZZ$1, 0))</f>
        <v>#N/A</v>
      </c>
      <c r="B555" t="e">
        <f>INDEX(resultados!$A$2:$ZZ$956, 549, MATCH($B$2, resultados!$A$1:$ZZ$1, 0))</f>
        <v>#N/A</v>
      </c>
      <c r="C555" t="e">
        <f>INDEX(resultados!$A$2:$ZZ$956, 549, MATCH($B$3, resultados!$A$1:$ZZ$1, 0))</f>
        <v>#N/A</v>
      </c>
    </row>
    <row r="556" spans="1:3" x14ac:dyDescent="0.3">
      <c r="A556" t="e">
        <f>INDEX(resultados!$A$2:$ZZ$956, 550, MATCH($B$1, resultados!$A$1:$ZZ$1, 0))</f>
        <v>#N/A</v>
      </c>
      <c r="B556" t="e">
        <f>INDEX(resultados!$A$2:$ZZ$956, 550, MATCH($B$2, resultados!$A$1:$ZZ$1, 0))</f>
        <v>#N/A</v>
      </c>
      <c r="C556" t="e">
        <f>INDEX(resultados!$A$2:$ZZ$956, 550, MATCH($B$3, resultados!$A$1:$ZZ$1, 0))</f>
        <v>#N/A</v>
      </c>
    </row>
    <row r="557" spans="1:3" x14ac:dyDescent="0.3">
      <c r="A557" t="e">
        <f>INDEX(resultados!$A$2:$ZZ$956, 551, MATCH($B$1, resultados!$A$1:$ZZ$1, 0))</f>
        <v>#N/A</v>
      </c>
      <c r="B557" t="e">
        <f>INDEX(resultados!$A$2:$ZZ$956, 551, MATCH($B$2, resultados!$A$1:$ZZ$1, 0))</f>
        <v>#N/A</v>
      </c>
      <c r="C557" t="e">
        <f>INDEX(resultados!$A$2:$ZZ$956, 551, MATCH($B$3, resultados!$A$1:$ZZ$1, 0))</f>
        <v>#N/A</v>
      </c>
    </row>
    <row r="558" spans="1:3" x14ac:dyDescent="0.3">
      <c r="A558" t="e">
        <f>INDEX(resultados!$A$2:$ZZ$956, 552, MATCH($B$1, resultados!$A$1:$ZZ$1, 0))</f>
        <v>#N/A</v>
      </c>
      <c r="B558" t="e">
        <f>INDEX(resultados!$A$2:$ZZ$956, 552, MATCH($B$2, resultados!$A$1:$ZZ$1, 0))</f>
        <v>#N/A</v>
      </c>
      <c r="C558" t="e">
        <f>INDEX(resultados!$A$2:$ZZ$956, 552, MATCH($B$3, resultados!$A$1:$ZZ$1, 0))</f>
        <v>#N/A</v>
      </c>
    </row>
    <row r="559" spans="1:3" x14ac:dyDescent="0.3">
      <c r="A559" t="e">
        <f>INDEX(resultados!$A$2:$ZZ$956, 553, MATCH($B$1, resultados!$A$1:$ZZ$1, 0))</f>
        <v>#N/A</v>
      </c>
      <c r="B559" t="e">
        <f>INDEX(resultados!$A$2:$ZZ$956, 553, MATCH($B$2, resultados!$A$1:$ZZ$1, 0))</f>
        <v>#N/A</v>
      </c>
      <c r="C559" t="e">
        <f>INDEX(resultados!$A$2:$ZZ$956, 553, MATCH($B$3, resultados!$A$1:$ZZ$1, 0))</f>
        <v>#N/A</v>
      </c>
    </row>
    <row r="560" spans="1:3" x14ac:dyDescent="0.3">
      <c r="A560" t="e">
        <f>INDEX(resultados!$A$2:$ZZ$956, 554, MATCH($B$1, resultados!$A$1:$ZZ$1, 0))</f>
        <v>#N/A</v>
      </c>
      <c r="B560" t="e">
        <f>INDEX(resultados!$A$2:$ZZ$956, 554, MATCH($B$2, resultados!$A$1:$ZZ$1, 0))</f>
        <v>#N/A</v>
      </c>
      <c r="C560" t="e">
        <f>INDEX(resultados!$A$2:$ZZ$956, 554, MATCH($B$3, resultados!$A$1:$ZZ$1, 0))</f>
        <v>#N/A</v>
      </c>
    </row>
    <row r="561" spans="1:3" x14ac:dyDescent="0.3">
      <c r="A561" t="e">
        <f>INDEX(resultados!$A$2:$ZZ$956, 555, MATCH($B$1, resultados!$A$1:$ZZ$1, 0))</f>
        <v>#N/A</v>
      </c>
      <c r="B561" t="e">
        <f>INDEX(resultados!$A$2:$ZZ$956, 555, MATCH($B$2, resultados!$A$1:$ZZ$1, 0))</f>
        <v>#N/A</v>
      </c>
      <c r="C561" t="e">
        <f>INDEX(resultados!$A$2:$ZZ$956, 555, MATCH($B$3, resultados!$A$1:$ZZ$1, 0))</f>
        <v>#N/A</v>
      </c>
    </row>
    <row r="562" spans="1:3" x14ac:dyDescent="0.3">
      <c r="A562" t="e">
        <f>INDEX(resultados!$A$2:$ZZ$956, 556, MATCH($B$1, resultados!$A$1:$ZZ$1, 0))</f>
        <v>#N/A</v>
      </c>
      <c r="B562" t="e">
        <f>INDEX(resultados!$A$2:$ZZ$956, 556, MATCH($B$2, resultados!$A$1:$ZZ$1, 0))</f>
        <v>#N/A</v>
      </c>
      <c r="C562" t="e">
        <f>INDEX(resultados!$A$2:$ZZ$956, 556, MATCH($B$3, resultados!$A$1:$ZZ$1, 0))</f>
        <v>#N/A</v>
      </c>
    </row>
    <row r="563" spans="1:3" x14ac:dyDescent="0.3">
      <c r="A563" t="e">
        <f>INDEX(resultados!$A$2:$ZZ$956, 557, MATCH($B$1, resultados!$A$1:$ZZ$1, 0))</f>
        <v>#N/A</v>
      </c>
      <c r="B563" t="e">
        <f>INDEX(resultados!$A$2:$ZZ$956, 557, MATCH($B$2, resultados!$A$1:$ZZ$1, 0))</f>
        <v>#N/A</v>
      </c>
      <c r="C563" t="e">
        <f>INDEX(resultados!$A$2:$ZZ$956, 557, MATCH($B$3, resultados!$A$1:$ZZ$1, 0))</f>
        <v>#N/A</v>
      </c>
    </row>
    <row r="564" spans="1:3" x14ac:dyDescent="0.3">
      <c r="A564" t="e">
        <f>INDEX(resultados!$A$2:$ZZ$956, 558, MATCH($B$1, resultados!$A$1:$ZZ$1, 0))</f>
        <v>#N/A</v>
      </c>
      <c r="B564" t="e">
        <f>INDEX(resultados!$A$2:$ZZ$956, 558, MATCH($B$2, resultados!$A$1:$ZZ$1, 0))</f>
        <v>#N/A</v>
      </c>
      <c r="C564" t="e">
        <f>INDEX(resultados!$A$2:$ZZ$956, 558, MATCH($B$3, resultados!$A$1:$ZZ$1, 0))</f>
        <v>#N/A</v>
      </c>
    </row>
    <row r="565" spans="1:3" x14ac:dyDescent="0.3">
      <c r="A565" t="e">
        <f>INDEX(resultados!$A$2:$ZZ$956, 559, MATCH($B$1, resultados!$A$1:$ZZ$1, 0))</f>
        <v>#N/A</v>
      </c>
      <c r="B565" t="e">
        <f>INDEX(resultados!$A$2:$ZZ$956, 559, MATCH($B$2, resultados!$A$1:$ZZ$1, 0))</f>
        <v>#N/A</v>
      </c>
      <c r="C565" t="e">
        <f>INDEX(resultados!$A$2:$ZZ$956, 559, MATCH($B$3, resultados!$A$1:$ZZ$1, 0))</f>
        <v>#N/A</v>
      </c>
    </row>
    <row r="566" spans="1:3" x14ac:dyDescent="0.3">
      <c r="A566" t="e">
        <f>INDEX(resultados!$A$2:$ZZ$956, 560, MATCH($B$1, resultados!$A$1:$ZZ$1, 0))</f>
        <v>#N/A</v>
      </c>
      <c r="B566" t="e">
        <f>INDEX(resultados!$A$2:$ZZ$956, 560, MATCH($B$2, resultados!$A$1:$ZZ$1, 0))</f>
        <v>#N/A</v>
      </c>
      <c r="C566" t="e">
        <f>INDEX(resultados!$A$2:$ZZ$956, 560, MATCH($B$3, resultados!$A$1:$ZZ$1, 0))</f>
        <v>#N/A</v>
      </c>
    </row>
    <row r="567" spans="1:3" x14ac:dyDescent="0.3">
      <c r="A567" t="e">
        <f>INDEX(resultados!$A$2:$ZZ$956, 561, MATCH($B$1, resultados!$A$1:$ZZ$1, 0))</f>
        <v>#N/A</v>
      </c>
      <c r="B567" t="e">
        <f>INDEX(resultados!$A$2:$ZZ$956, 561, MATCH($B$2, resultados!$A$1:$ZZ$1, 0))</f>
        <v>#N/A</v>
      </c>
      <c r="C567" t="e">
        <f>INDEX(resultados!$A$2:$ZZ$956, 561, MATCH($B$3, resultados!$A$1:$ZZ$1, 0))</f>
        <v>#N/A</v>
      </c>
    </row>
    <row r="568" spans="1:3" x14ac:dyDescent="0.3">
      <c r="A568" t="e">
        <f>INDEX(resultados!$A$2:$ZZ$956, 562, MATCH($B$1, resultados!$A$1:$ZZ$1, 0))</f>
        <v>#N/A</v>
      </c>
      <c r="B568" t="e">
        <f>INDEX(resultados!$A$2:$ZZ$956, 562, MATCH($B$2, resultados!$A$1:$ZZ$1, 0))</f>
        <v>#N/A</v>
      </c>
      <c r="C568" t="e">
        <f>INDEX(resultados!$A$2:$ZZ$956, 562, MATCH($B$3, resultados!$A$1:$ZZ$1, 0))</f>
        <v>#N/A</v>
      </c>
    </row>
    <row r="569" spans="1:3" x14ac:dyDescent="0.3">
      <c r="A569" t="e">
        <f>INDEX(resultados!$A$2:$ZZ$956, 563, MATCH($B$1, resultados!$A$1:$ZZ$1, 0))</f>
        <v>#N/A</v>
      </c>
      <c r="B569" t="e">
        <f>INDEX(resultados!$A$2:$ZZ$956, 563, MATCH($B$2, resultados!$A$1:$ZZ$1, 0))</f>
        <v>#N/A</v>
      </c>
      <c r="C569" t="e">
        <f>INDEX(resultados!$A$2:$ZZ$956, 563, MATCH($B$3, resultados!$A$1:$ZZ$1, 0))</f>
        <v>#N/A</v>
      </c>
    </row>
    <row r="570" spans="1:3" x14ac:dyDescent="0.3">
      <c r="A570" t="e">
        <f>INDEX(resultados!$A$2:$ZZ$956, 564, MATCH($B$1, resultados!$A$1:$ZZ$1, 0))</f>
        <v>#N/A</v>
      </c>
      <c r="B570" t="e">
        <f>INDEX(resultados!$A$2:$ZZ$956, 564, MATCH($B$2, resultados!$A$1:$ZZ$1, 0))</f>
        <v>#N/A</v>
      </c>
      <c r="C570" t="e">
        <f>INDEX(resultados!$A$2:$ZZ$956, 564, MATCH($B$3, resultados!$A$1:$ZZ$1, 0))</f>
        <v>#N/A</v>
      </c>
    </row>
    <row r="571" spans="1:3" x14ac:dyDescent="0.3">
      <c r="A571" t="e">
        <f>INDEX(resultados!$A$2:$ZZ$956, 565, MATCH($B$1, resultados!$A$1:$ZZ$1, 0))</f>
        <v>#N/A</v>
      </c>
      <c r="B571" t="e">
        <f>INDEX(resultados!$A$2:$ZZ$956, 565, MATCH($B$2, resultados!$A$1:$ZZ$1, 0))</f>
        <v>#N/A</v>
      </c>
      <c r="C571" t="e">
        <f>INDEX(resultados!$A$2:$ZZ$956, 565, MATCH($B$3, resultados!$A$1:$ZZ$1, 0))</f>
        <v>#N/A</v>
      </c>
    </row>
    <row r="572" spans="1:3" x14ac:dyDescent="0.3">
      <c r="A572" t="e">
        <f>INDEX(resultados!$A$2:$ZZ$956, 566, MATCH($B$1, resultados!$A$1:$ZZ$1, 0))</f>
        <v>#N/A</v>
      </c>
      <c r="B572" t="e">
        <f>INDEX(resultados!$A$2:$ZZ$956, 566, MATCH($B$2, resultados!$A$1:$ZZ$1, 0))</f>
        <v>#N/A</v>
      </c>
      <c r="C572" t="e">
        <f>INDEX(resultados!$A$2:$ZZ$956, 566, MATCH($B$3, resultados!$A$1:$ZZ$1, 0))</f>
        <v>#N/A</v>
      </c>
    </row>
    <row r="573" spans="1:3" x14ac:dyDescent="0.3">
      <c r="A573" t="e">
        <f>INDEX(resultados!$A$2:$ZZ$956, 567, MATCH($B$1, resultados!$A$1:$ZZ$1, 0))</f>
        <v>#N/A</v>
      </c>
      <c r="B573" t="e">
        <f>INDEX(resultados!$A$2:$ZZ$956, 567, MATCH($B$2, resultados!$A$1:$ZZ$1, 0))</f>
        <v>#N/A</v>
      </c>
      <c r="C573" t="e">
        <f>INDEX(resultados!$A$2:$ZZ$956, 567, MATCH($B$3, resultados!$A$1:$ZZ$1, 0))</f>
        <v>#N/A</v>
      </c>
    </row>
    <row r="574" spans="1:3" x14ac:dyDescent="0.3">
      <c r="A574" t="e">
        <f>INDEX(resultados!$A$2:$ZZ$956, 568, MATCH($B$1, resultados!$A$1:$ZZ$1, 0))</f>
        <v>#N/A</v>
      </c>
      <c r="B574" t="e">
        <f>INDEX(resultados!$A$2:$ZZ$956, 568, MATCH($B$2, resultados!$A$1:$ZZ$1, 0))</f>
        <v>#N/A</v>
      </c>
      <c r="C574" t="e">
        <f>INDEX(resultados!$A$2:$ZZ$956, 568, MATCH($B$3, resultados!$A$1:$ZZ$1, 0))</f>
        <v>#N/A</v>
      </c>
    </row>
    <row r="575" spans="1:3" x14ac:dyDescent="0.3">
      <c r="A575" t="e">
        <f>INDEX(resultados!$A$2:$ZZ$956, 569, MATCH($B$1, resultados!$A$1:$ZZ$1, 0))</f>
        <v>#N/A</v>
      </c>
      <c r="B575" t="e">
        <f>INDEX(resultados!$A$2:$ZZ$956, 569, MATCH($B$2, resultados!$A$1:$ZZ$1, 0))</f>
        <v>#N/A</v>
      </c>
      <c r="C575" t="e">
        <f>INDEX(resultados!$A$2:$ZZ$956, 569, MATCH($B$3, resultados!$A$1:$ZZ$1, 0))</f>
        <v>#N/A</v>
      </c>
    </row>
    <row r="576" spans="1:3" x14ac:dyDescent="0.3">
      <c r="A576" t="e">
        <f>INDEX(resultados!$A$2:$ZZ$956, 570, MATCH($B$1, resultados!$A$1:$ZZ$1, 0))</f>
        <v>#N/A</v>
      </c>
      <c r="B576" t="e">
        <f>INDEX(resultados!$A$2:$ZZ$956, 570, MATCH($B$2, resultados!$A$1:$ZZ$1, 0))</f>
        <v>#N/A</v>
      </c>
      <c r="C576" t="e">
        <f>INDEX(resultados!$A$2:$ZZ$956, 570, MATCH($B$3, resultados!$A$1:$ZZ$1, 0))</f>
        <v>#N/A</v>
      </c>
    </row>
    <row r="577" spans="1:3" x14ac:dyDescent="0.3">
      <c r="A577" t="e">
        <f>INDEX(resultados!$A$2:$ZZ$956, 571, MATCH($B$1, resultados!$A$1:$ZZ$1, 0))</f>
        <v>#N/A</v>
      </c>
      <c r="B577" t="e">
        <f>INDEX(resultados!$A$2:$ZZ$956, 571, MATCH($B$2, resultados!$A$1:$ZZ$1, 0))</f>
        <v>#N/A</v>
      </c>
      <c r="C577" t="e">
        <f>INDEX(resultados!$A$2:$ZZ$956, 571, MATCH($B$3, resultados!$A$1:$ZZ$1, 0))</f>
        <v>#N/A</v>
      </c>
    </row>
    <row r="578" spans="1:3" x14ac:dyDescent="0.3">
      <c r="A578" t="e">
        <f>INDEX(resultados!$A$2:$ZZ$956, 572, MATCH($B$1, resultados!$A$1:$ZZ$1, 0))</f>
        <v>#N/A</v>
      </c>
      <c r="B578" t="e">
        <f>INDEX(resultados!$A$2:$ZZ$956, 572, MATCH($B$2, resultados!$A$1:$ZZ$1, 0))</f>
        <v>#N/A</v>
      </c>
      <c r="C578" t="e">
        <f>INDEX(resultados!$A$2:$ZZ$956, 572, MATCH($B$3, resultados!$A$1:$ZZ$1, 0))</f>
        <v>#N/A</v>
      </c>
    </row>
    <row r="579" spans="1:3" x14ac:dyDescent="0.3">
      <c r="A579" t="e">
        <f>INDEX(resultados!$A$2:$ZZ$956, 573, MATCH($B$1, resultados!$A$1:$ZZ$1, 0))</f>
        <v>#N/A</v>
      </c>
      <c r="B579" t="e">
        <f>INDEX(resultados!$A$2:$ZZ$956, 573, MATCH($B$2, resultados!$A$1:$ZZ$1, 0))</f>
        <v>#N/A</v>
      </c>
      <c r="C579" t="e">
        <f>INDEX(resultados!$A$2:$ZZ$956, 573, MATCH($B$3, resultados!$A$1:$ZZ$1, 0))</f>
        <v>#N/A</v>
      </c>
    </row>
    <row r="580" spans="1:3" x14ac:dyDescent="0.3">
      <c r="A580" t="e">
        <f>INDEX(resultados!$A$2:$ZZ$956, 574, MATCH($B$1, resultados!$A$1:$ZZ$1, 0))</f>
        <v>#N/A</v>
      </c>
      <c r="B580" t="e">
        <f>INDEX(resultados!$A$2:$ZZ$956, 574, MATCH($B$2, resultados!$A$1:$ZZ$1, 0))</f>
        <v>#N/A</v>
      </c>
      <c r="C580" t="e">
        <f>INDEX(resultados!$A$2:$ZZ$956, 574, MATCH($B$3, resultados!$A$1:$ZZ$1, 0))</f>
        <v>#N/A</v>
      </c>
    </row>
    <row r="581" spans="1:3" x14ac:dyDescent="0.3">
      <c r="A581" t="e">
        <f>INDEX(resultados!$A$2:$ZZ$956, 575, MATCH($B$1, resultados!$A$1:$ZZ$1, 0))</f>
        <v>#N/A</v>
      </c>
      <c r="B581" t="e">
        <f>INDEX(resultados!$A$2:$ZZ$956, 575, MATCH($B$2, resultados!$A$1:$ZZ$1, 0))</f>
        <v>#N/A</v>
      </c>
      <c r="C581" t="e">
        <f>INDEX(resultados!$A$2:$ZZ$956, 575, MATCH($B$3, resultados!$A$1:$ZZ$1, 0))</f>
        <v>#N/A</v>
      </c>
    </row>
    <row r="582" spans="1:3" x14ac:dyDescent="0.3">
      <c r="A582" t="e">
        <f>INDEX(resultados!$A$2:$ZZ$956, 576, MATCH($B$1, resultados!$A$1:$ZZ$1, 0))</f>
        <v>#N/A</v>
      </c>
      <c r="B582" t="e">
        <f>INDEX(resultados!$A$2:$ZZ$956, 576, MATCH($B$2, resultados!$A$1:$ZZ$1, 0))</f>
        <v>#N/A</v>
      </c>
      <c r="C582" t="e">
        <f>INDEX(resultados!$A$2:$ZZ$956, 576, MATCH($B$3, resultados!$A$1:$ZZ$1, 0))</f>
        <v>#N/A</v>
      </c>
    </row>
    <row r="583" spans="1:3" x14ac:dyDescent="0.3">
      <c r="A583" t="e">
        <f>INDEX(resultados!$A$2:$ZZ$956, 577, MATCH($B$1, resultados!$A$1:$ZZ$1, 0))</f>
        <v>#N/A</v>
      </c>
      <c r="B583" t="e">
        <f>INDEX(resultados!$A$2:$ZZ$956, 577, MATCH($B$2, resultados!$A$1:$ZZ$1, 0))</f>
        <v>#N/A</v>
      </c>
      <c r="C583" t="e">
        <f>INDEX(resultados!$A$2:$ZZ$956, 577, MATCH($B$3, resultados!$A$1:$ZZ$1, 0))</f>
        <v>#N/A</v>
      </c>
    </row>
    <row r="584" spans="1:3" x14ac:dyDescent="0.3">
      <c r="A584" t="e">
        <f>INDEX(resultados!$A$2:$ZZ$956, 578, MATCH($B$1, resultados!$A$1:$ZZ$1, 0))</f>
        <v>#N/A</v>
      </c>
      <c r="B584" t="e">
        <f>INDEX(resultados!$A$2:$ZZ$956, 578, MATCH($B$2, resultados!$A$1:$ZZ$1, 0))</f>
        <v>#N/A</v>
      </c>
      <c r="C584" t="e">
        <f>INDEX(resultados!$A$2:$ZZ$956, 578, MATCH($B$3, resultados!$A$1:$ZZ$1, 0))</f>
        <v>#N/A</v>
      </c>
    </row>
    <row r="585" spans="1:3" x14ac:dyDescent="0.3">
      <c r="A585" t="e">
        <f>INDEX(resultados!$A$2:$ZZ$956, 579, MATCH($B$1, resultados!$A$1:$ZZ$1, 0))</f>
        <v>#N/A</v>
      </c>
      <c r="B585" t="e">
        <f>INDEX(resultados!$A$2:$ZZ$956, 579, MATCH($B$2, resultados!$A$1:$ZZ$1, 0))</f>
        <v>#N/A</v>
      </c>
      <c r="C585" t="e">
        <f>INDEX(resultados!$A$2:$ZZ$956, 579, MATCH($B$3, resultados!$A$1:$ZZ$1, 0))</f>
        <v>#N/A</v>
      </c>
    </row>
    <row r="586" spans="1:3" x14ac:dyDescent="0.3">
      <c r="A586" t="e">
        <f>INDEX(resultados!$A$2:$ZZ$956, 580, MATCH($B$1, resultados!$A$1:$ZZ$1, 0))</f>
        <v>#N/A</v>
      </c>
      <c r="B586" t="e">
        <f>INDEX(resultados!$A$2:$ZZ$956, 580, MATCH($B$2, resultados!$A$1:$ZZ$1, 0))</f>
        <v>#N/A</v>
      </c>
      <c r="C586" t="e">
        <f>INDEX(resultados!$A$2:$ZZ$956, 580, MATCH($B$3, resultados!$A$1:$ZZ$1, 0))</f>
        <v>#N/A</v>
      </c>
    </row>
    <row r="587" spans="1:3" x14ac:dyDescent="0.3">
      <c r="A587" t="e">
        <f>INDEX(resultados!$A$2:$ZZ$956, 581, MATCH($B$1, resultados!$A$1:$ZZ$1, 0))</f>
        <v>#N/A</v>
      </c>
      <c r="B587" t="e">
        <f>INDEX(resultados!$A$2:$ZZ$956, 581, MATCH($B$2, resultados!$A$1:$ZZ$1, 0))</f>
        <v>#N/A</v>
      </c>
      <c r="C587" t="e">
        <f>INDEX(resultados!$A$2:$ZZ$956, 581, MATCH($B$3, resultados!$A$1:$ZZ$1, 0))</f>
        <v>#N/A</v>
      </c>
    </row>
    <row r="588" spans="1:3" x14ac:dyDescent="0.3">
      <c r="A588" t="e">
        <f>INDEX(resultados!$A$2:$ZZ$956, 582, MATCH($B$1, resultados!$A$1:$ZZ$1, 0))</f>
        <v>#N/A</v>
      </c>
      <c r="B588" t="e">
        <f>INDEX(resultados!$A$2:$ZZ$956, 582, MATCH($B$2, resultados!$A$1:$ZZ$1, 0))</f>
        <v>#N/A</v>
      </c>
      <c r="C588" t="e">
        <f>INDEX(resultados!$A$2:$ZZ$956, 582, MATCH($B$3, resultados!$A$1:$ZZ$1, 0))</f>
        <v>#N/A</v>
      </c>
    </row>
    <row r="589" spans="1:3" x14ac:dyDescent="0.3">
      <c r="A589" t="e">
        <f>INDEX(resultados!$A$2:$ZZ$956, 583, MATCH($B$1, resultados!$A$1:$ZZ$1, 0))</f>
        <v>#N/A</v>
      </c>
      <c r="B589" t="e">
        <f>INDEX(resultados!$A$2:$ZZ$956, 583, MATCH($B$2, resultados!$A$1:$ZZ$1, 0))</f>
        <v>#N/A</v>
      </c>
      <c r="C589" t="e">
        <f>INDEX(resultados!$A$2:$ZZ$956, 583, MATCH($B$3, resultados!$A$1:$ZZ$1, 0))</f>
        <v>#N/A</v>
      </c>
    </row>
    <row r="590" spans="1:3" x14ac:dyDescent="0.3">
      <c r="A590" t="e">
        <f>INDEX(resultados!$A$2:$ZZ$956, 584, MATCH($B$1, resultados!$A$1:$ZZ$1, 0))</f>
        <v>#N/A</v>
      </c>
      <c r="B590" t="e">
        <f>INDEX(resultados!$A$2:$ZZ$956, 584, MATCH($B$2, resultados!$A$1:$ZZ$1, 0))</f>
        <v>#N/A</v>
      </c>
      <c r="C590" t="e">
        <f>INDEX(resultados!$A$2:$ZZ$956, 584, MATCH($B$3, resultados!$A$1:$ZZ$1, 0))</f>
        <v>#N/A</v>
      </c>
    </row>
    <row r="591" spans="1:3" x14ac:dyDescent="0.3">
      <c r="A591" t="e">
        <f>INDEX(resultados!$A$2:$ZZ$956, 585, MATCH($B$1, resultados!$A$1:$ZZ$1, 0))</f>
        <v>#N/A</v>
      </c>
      <c r="B591" t="e">
        <f>INDEX(resultados!$A$2:$ZZ$956, 585, MATCH($B$2, resultados!$A$1:$ZZ$1, 0))</f>
        <v>#N/A</v>
      </c>
      <c r="C591" t="e">
        <f>INDEX(resultados!$A$2:$ZZ$956, 585, MATCH($B$3, resultados!$A$1:$ZZ$1, 0))</f>
        <v>#N/A</v>
      </c>
    </row>
    <row r="592" spans="1:3" x14ac:dyDescent="0.3">
      <c r="A592" t="e">
        <f>INDEX(resultados!$A$2:$ZZ$956, 586, MATCH($B$1, resultados!$A$1:$ZZ$1, 0))</f>
        <v>#N/A</v>
      </c>
      <c r="B592" t="e">
        <f>INDEX(resultados!$A$2:$ZZ$956, 586, MATCH($B$2, resultados!$A$1:$ZZ$1, 0))</f>
        <v>#N/A</v>
      </c>
      <c r="C592" t="e">
        <f>INDEX(resultados!$A$2:$ZZ$956, 586, MATCH($B$3, resultados!$A$1:$ZZ$1, 0))</f>
        <v>#N/A</v>
      </c>
    </row>
    <row r="593" spans="1:3" x14ac:dyDescent="0.3">
      <c r="A593" t="e">
        <f>INDEX(resultados!$A$2:$ZZ$956, 587, MATCH($B$1, resultados!$A$1:$ZZ$1, 0))</f>
        <v>#N/A</v>
      </c>
      <c r="B593" t="e">
        <f>INDEX(resultados!$A$2:$ZZ$956, 587, MATCH($B$2, resultados!$A$1:$ZZ$1, 0))</f>
        <v>#N/A</v>
      </c>
      <c r="C593" t="e">
        <f>INDEX(resultados!$A$2:$ZZ$956, 587, MATCH($B$3, resultados!$A$1:$ZZ$1, 0))</f>
        <v>#N/A</v>
      </c>
    </row>
    <row r="594" spans="1:3" x14ac:dyDescent="0.3">
      <c r="A594" t="e">
        <f>INDEX(resultados!$A$2:$ZZ$956, 588, MATCH($B$1, resultados!$A$1:$ZZ$1, 0))</f>
        <v>#N/A</v>
      </c>
      <c r="B594" t="e">
        <f>INDEX(resultados!$A$2:$ZZ$956, 588, MATCH($B$2, resultados!$A$1:$ZZ$1, 0))</f>
        <v>#N/A</v>
      </c>
      <c r="C594" t="e">
        <f>INDEX(resultados!$A$2:$ZZ$956, 588, MATCH($B$3, resultados!$A$1:$ZZ$1, 0))</f>
        <v>#N/A</v>
      </c>
    </row>
    <row r="595" spans="1:3" x14ac:dyDescent="0.3">
      <c r="A595" t="e">
        <f>INDEX(resultados!$A$2:$ZZ$956, 589, MATCH($B$1, resultados!$A$1:$ZZ$1, 0))</f>
        <v>#N/A</v>
      </c>
      <c r="B595" t="e">
        <f>INDEX(resultados!$A$2:$ZZ$956, 589, MATCH($B$2, resultados!$A$1:$ZZ$1, 0))</f>
        <v>#N/A</v>
      </c>
      <c r="C595" t="e">
        <f>INDEX(resultados!$A$2:$ZZ$956, 589, MATCH($B$3, resultados!$A$1:$ZZ$1, 0))</f>
        <v>#N/A</v>
      </c>
    </row>
    <row r="596" spans="1:3" x14ac:dyDescent="0.3">
      <c r="A596" t="e">
        <f>INDEX(resultados!$A$2:$ZZ$956, 590, MATCH($B$1, resultados!$A$1:$ZZ$1, 0))</f>
        <v>#N/A</v>
      </c>
      <c r="B596" t="e">
        <f>INDEX(resultados!$A$2:$ZZ$956, 590, MATCH($B$2, resultados!$A$1:$ZZ$1, 0))</f>
        <v>#N/A</v>
      </c>
      <c r="C596" t="e">
        <f>INDEX(resultados!$A$2:$ZZ$956, 590, MATCH($B$3, resultados!$A$1:$ZZ$1, 0))</f>
        <v>#N/A</v>
      </c>
    </row>
    <row r="597" spans="1:3" x14ac:dyDescent="0.3">
      <c r="A597" t="e">
        <f>INDEX(resultados!$A$2:$ZZ$956, 591, MATCH($B$1, resultados!$A$1:$ZZ$1, 0))</f>
        <v>#N/A</v>
      </c>
      <c r="B597" t="e">
        <f>INDEX(resultados!$A$2:$ZZ$956, 591, MATCH($B$2, resultados!$A$1:$ZZ$1, 0))</f>
        <v>#N/A</v>
      </c>
      <c r="C597" t="e">
        <f>INDEX(resultados!$A$2:$ZZ$956, 591, MATCH($B$3, resultados!$A$1:$ZZ$1, 0))</f>
        <v>#N/A</v>
      </c>
    </row>
    <row r="598" spans="1:3" x14ac:dyDescent="0.3">
      <c r="A598" t="e">
        <f>INDEX(resultados!$A$2:$ZZ$956, 592, MATCH($B$1, resultados!$A$1:$ZZ$1, 0))</f>
        <v>#N/A</v>
      </c>
      <c r="B598" t="e">
        <f>INDEX(resultados!$A$2:$ZZ$956, 592, MATCH($B$2, resultados!$A$1:$ZZ$1, 0))</f>
        <v>#N/A</v>
      </c>
      <c r="C598" t="e">
        <f>INDEX(resultados!$A$2:$ZZ$956, 592, MATCH($B$3, resultados!$A$1:$ZZ$1, 0))</f>
        <v>#N/A</v>
      </c>
    </row>
    <row r="599" spans="1:3" x14ac:dyDescent="0.3">
      <c r="A599" t="e">
        <f>INDEX(resultados!$A$2:$ZZ$956, 593, MATCH($B$1, resultados!$A$1:$ZZ$1, 0))</f>
        <v>#N/A</v>
      </c>
      <c r="B599" t="e">
        <f>INDEX(resultados!$A$2:$ZZ$956, 593, MATCH($B$2, resultados!$A$1:$ZZ$1, 0))</f>
        <v>#N/A</v>
      </c>
      <c r="C599" t="e">
        <f>INDEX(resultados!$A$2:$ZZ$956, 593, MATCH($B$3, resultados!$A$1:$ZZ$1, 0))</f>
        <v>#N/A</v>
      </c>
    </row>
    <row r="600" spans="1:3" x14ac:dyDescent="0.3">
      <c r="A600" t="e">
        <f>INDEX(resultados!$A$2:$ZZ$956, 594, MATCH($B$1, resultados!$A$1:$ZZ$1, 0))</f>
        <v>#N/A</v>
      </c>
      <c r="B600" t="e">
        <f>INDEX(resultados!$A$2:$ZZ$956, 594, MATCH($B$2, resultados!$A$1:$ZZ$1, 0))</f>
        <v>#N/A</v>
      </c>
      <c r="C600" t="e">
        <f>INDEX(resultados!$A$2:$ZZ$956, 594, MATCH($B$3, resultados!$A$1:$ZZ$1, 0))</f>
        <v>#N/A</v>
      </c>
    </row>
    <row r="601" spans="1:3" x14ac:dyDescent="0.3">
      <c r="A601" t="e">
        <f>INDEX(resultados!$A$2:$ZZ$956, 595, MATCH($B$1, resultados!$A$1:$ZZ$1, 0))</f>
        <v>#N/A</v>
      </c>
      <c r="B601" t="e">
        <f>INDEX(resultados!$A$2:$ZZ$956, 595, MATCH($B$2, resultados!$A$1:$ZZ$1, 0))</f>
        <v>#N/A</v>
      </c>
      <c r="C601" t="e">
        <f>INDEX(resultados!$A$2:$ZZ$956, 595, MATCH($B$3, resultados!$A$1:$ZZ$1, 0))</f>
        <v>#N/A</v>
      </c>
    </row>
    <row r="602" spans="1:3" x14ac:dyDescent="0.3">
      <c r="A602" t="e">
        <f>INDEX(resultados!$A$2:$ZZ$956, 596, MATCH($B$1, resultados!$A$1:$ZZ$1, 0))</f>
        <v>#N/A</v>
      </c>
      <c r="B602" t="e">
        <f>INDEX(resultados!$A$2:$ZZ$956, 596, MATCH($B$2, resultados!$A$1:$ZZ$1, 0))</f>
        <v>#N/A</v>
      </c>
      <c r="C602" t="e">
        <f>INDEX(resultados!$A$2:$ZZ$956, 596, MATCH($B$3, resultados!$A$1:$ZZ$1, 0))</f>
        <v>#N/A</v>
      </c>
    </row>
    <row r="603" spans="1:3" x14ac:dyDescent="0.3">
      <c r="A603" t="e">
        <f>INDEX(resultados!$A$2:$ZZ$956, 597, MATCH($B$1, resultados!$A$1:$ZZ$1, 0))</f>
        <v>#N/A</v>
      </c>
      <c r="B603" t="e">
        <f>INDEX(resultados!$A$2:$ZZ$956, 597, MATCH($B$2, resultados!$A$1:$ZZ$1, 0))</f>
        <v>#N/A</v>
      </c>
      <c r="C603" t="e">
        <f>INDEX(resultados!$A$2:$ZZ$956, 597, MATCH($B$3, resultados!$A$1:$ZZ$1, 0))</f>
        <v>#N/A</v>
      </c>
    </row>
    <row r="604" spans="1:3" x14ac:dyDescent="0.3">
      <c r="A604" t="e">
        <f>INDEX(resultados!$A$2:$ZZ$956, 598, MATCH($B$1, resultados!$A$1:$ZZ$1, 0))</f>
        <v>#N/A</v>
      </c>
      <c r="B604" t="e">
        <f>INDEX(resultados!$A$2:$ZZ$956, 598, MATCH($B$2, resultados!$A$1:$ZZ$1, 0))</f>
        <v>#N/A</v>
      </c>
      <c r="C604" t="e">
        <f>INDEX(resultados!$A$2:$ZZ$956, 598, MATCH($B$3, resultados!$A$1:$ZZ$1, 0))</f>
        <v>#N/A</v>
      </c>
    </row>
    <row r="605" spans="1:3" x14ac:dyDescent="0.3">
      <c r="A605" t="e">
        <f>INDEX(resultados!$A$2:$ZZ$956, 599, MATCH($B$1, resultados!$A$1:$ZZ$1, 0))</f>
        <v>#N/A</v>
      </c>
      <c r="B605" t="e">
        <f>INDEX(resultados!$A$2:$ZZ$956, 599, MATCH($B$2, resultados!$A$1:$ZZ$1, 0))</f>
        <v>#N/A</v>
      </c>
      <c r="C605" t="e">
        <f>INDEX(resultados!$A$2:$ZZ$956, 599, MATCH($B$3, resultados!$A$1:$ZZ$1, 0))</f>
        <v>#N/A</v>
      </c>
    </row>
    <row r="606" spans="1:3" x14ac:dyDescent="0.3">
      <c r="A606" t="e">
        <f>INDEX(resultados!$A$2:$ZZ$956, 600, MATCH($B$1, resultados!$A$1:$ZZ$1, 0))</f>
        <v>#N/A</v>
      </c>
      <c r="B606" t="e">
        <f>INDEX(resultados!$A$2:$ZZ$956, 600, MATCH($B$2, resultados!$A$1:$ZZ$1, 0))</f>
        <v>#N/A</v>
      </c>
      <c r="C606" t="e">
        <f>INDEX(resultados!$A$2:$ZZ$956, 600, MATCH($B$3, resultados!$A$1:$ZZ$1, 0))</f>
        <v>#N/A</v>
      </c>
    </row>
    <row r="607" spans="1:3" x14ac:dyDescent="0.3">
      <c r="A607" t="e">
        <f>INDEX(resultados!$A$2:$ZZ$956, 601, MATCH($B$1, resultados!$A$1:$ZZ$1, 0))</f>
        <v>#N/A</v>
      </c>
      <c r="B607" t="e">
        <f>INDEX(resultados!$A$2:$ZZ$956, 601, MATCH($B$2, resultados!$A$1:$ZZ$1, 0))</f>
        <v>#N/A</v>
      </c>
      <c r="C607" t="e">
        <f>INDEX(resultados!$A$2:$ZZ$956, 601, MATCH($B$3, resultados!$A$1:$ZZ$1, 0))</f>
        <v>#N/A</v>
      </c>
    </row>
    <row r="608" spans="1:3" x14ac:dyDescent="0.3">
      <c r="A608" t="e">
        <f>INDEX(resultados!$A$2:$ZZ$956, 602, MATCH($B$1, resultados!$A$1:$ZZ$1, 0))</f>
        <v>#N/A</v>
      </c>
      <c r="B608" t="e">
        <f>INDEX(resultados!$A$2:$ZZ$956, 602, MATCH($B$2, resultados!$A$1:$ZZ$1, 0))</f>
        <v>#N/A</v>
      </c>
      <c r="C608" t="e">
        <f>INDEX(resultados!$A$2:$ZZ$956, 602, MATCH($B$3, resultados!$A$1:$ZZ$1, 0))</f>
        <v>#N/A</v>
      </c>
    </row>
    <row r="609" spans="1:3" x14ac:dyDescent="0.3">
      <c r="A609" t="e">
        <f>INDEX(resultados!$A$2:$ZZ$956, 603, MATCH($B$1, resultados!$A$1:$ZZ$1, 0))</f>
        <v>#N/A</v>
      </c>
      <c r="B609" t="e">
        <f>INDEX(resultados!$A$2:$ZZ$956, 603, MATCH($B$2, resultados!$A$1:$ZZ$1, 0))</f>
        <v>#N/A</v>
      </c>
      <c r="C609" t="e">
        <f>INDEX(resultados!$A$2:$ZZ$956, 603, MATCH($B$3, resultados!$A$1:$ZZ$1, 0))</f>
        <v>#N/A</v>
      </c>
    </row>
    <row r="610" spans="1:3" x14ac:dyDescent="0.3">
      <c r="A610" t="e">
        <f>INDEX(resultados!$A$2:$ZZ$956, 604, MATCH($B$1, resultados!$A$1:$ZZ$1, 0))</f>
        <v>#N/A</v>
      </c>
      <c r="B610" t="e">
        <f>INDEX(resultados!$A$2:$ZZ$956, 604, MATCH($B$2, resultados!$A$1:$ZZ$1, 0))</f>
        <v>#N/A</v>
      </c>
      <c r="C610" t="e">
        <f>INDEX(resultados!$A$2:$ZZ$956, 604, MATCH($B$3, resultados!$A$1:$ZZ$1, 0))</f>
        <v>#N/A</v>
      </c>
    </row>
    <row r="611" spans="1:3" x14ac:dyDescent="0.3">
      <c r="A611" t="e">
        <f>INDEX(resultados!$A$2:$ZZ$956, 605, MATCH($B$1, resultados!$A$1:$ZZ$1, 0))</f>
        <v>#N/A</v>
      </c>
      <c r="B611" t="e">
        <f>INDEX(resultados!$A$2:$ZZ$956, 605, MATCH($B$2, resultados!$A$1:$ZZ$1, 0))</f>
        <v>#N/A</v>
      </c>
      <c r="C611" t="e">
        <f>INDEX(resultados!$A$2:$ZZ$956, 605, MATCH($B$3, resultados!$A$1:$ZZ$1, 0))</f>
        <v>#N/A</v>
      </c>
    </row>
    <row r="612" spans="1:3" x14ac:dyDescent="0.3">
      <c r="A612" t="e">
        <f>INDEX(resultados!$A$2:$ZZ$956, 606, MATCH($B$1, resultados!$A$1:$ZZ$1, 0))</f>
        <v>#N/A</v>
      </c>
      <c r="B612" t="e">
        <f>INDEX(resultados!$A$2:$ZZ$956, 606, MATCH($B$2, resultados!$A$1:$ZZ$1, 0))</f>
        <v>#N/A</v>
      </c>
      <c r="C612" t="e">
        <f>INDEX(resultados!$A$2:$ZZ$956, 606, MATCH($B$3, resultados!$A$1:$ZZ$1, 0))</f>
        <v>#N/A</v>
      </c>
    </row>
    <row r="613" spans="1:3" x14ac:dyDescent="0.3">
      <c r="A613" t="e">
        <f>INDEX(resultados!$A$2:$ZZ$956, 607, MATCH($B$1, resultados!$A$1:$ZZ$1, 0))</f>
        <v>#N/A</v>
      </c>
      <c r="B613" t="e">
        <f>INDEX(resultados!$A$2:$ZZ$956, 607, MATCH($B$2, resultados!$A$1:$ZZ$1, 0))</f>
        <v>#N/A</v>
      </c>
      <c r="C613" t="e">
        <f>INDEX(resultados!$A$2:$ZZ$956, 607, MATCH($B$3, resultados!$A$1:$ZZ$1, 0))</f>
        <v>#N/A</v>
      </c>
    </row>
    <row r="614" spans="1:3" x14ac:dyDescent="0.3">
      <c r="A614" t="e">
        <f>INDEX(resultados!$A$2:$ZZ$956, 608, MATCH($B$1, resultados!$A$1:$ZZ$1, 0))</f>
        <v>#N/A</v>
      </c>
      <c r="B614" t="e">
        <f>INDEX(resultados!$A$2:$ZZ$956, 608, MATCH($B$2, resultados!$A$1:$ZZ$1, 0))</f>
        <v>#N/A</v>
      </c>
      <c r="C614" t="e">
        <f>INDEX(resultados!$A$2:$ZZ$956, 608, MATCH($B$3, resultados!$A$1:$ZZ$1, 0))</f>
        <v>#N/A</v>
      </c>
    </row>
    <row r="615" spans="1:3" x14ac:dyDescent="0.3">
      <c r="A615" t="e">
        <f>INDEX(resultados!$A$2:$ZZ$956, 609, MATCH($B$1, resultados!$A$1:$ZZ$1, 0))</f>
        <v>#N/A</v>
      </c>
      <c r="B615" t="e">
        <f>INDEX(resultados!$A$2:$ZZ$956, 609, MATCH($B$2, resultados!$A$1:$ZZ$1, 0))</f>
        <v>#N/A</v>
      </c>
      <c r="C615" t="e">
        <f>INDEX(resultados!$A$2:$ZZ$956, 609, MATCH($B$3, resultados!$A$1:$ZZ$1, 0))</f>
        <v>#N/A</v>
      </c>
    </row>
    <row r="616" spans="1:3" x14ac:dyDescent="0.3">
      <c r="A616" t="e">
        <f>INDEX(resultados!$A$2:$ZZ$956, 610, MATCH($B$1, resultados!$A$1:$ZZ$1, 0))</f>
        <v>#N/A</v>
      </c>
      <c r="B616" t="e">
        <f>INDEX(resultados!$A$2:$ZZ$956, 610, MATCH($B$2, resultados!$A$1:$ZZ$1, 0))</f>
        <v>#N/A</v>
      </c>
      <c r="C616" t="e">
        <f>INDEX(resultados!$A$2:$ZZ$956, 610, MATCH($B$3, resultados!$A$1:$ZZ$1, 0))</f>
        <v>#N/A</v>
      </c>
    </row>
    <row r="617" spans="1:3" x14ac:dyDescent="0.3">
      <c r="A617" t="e">
        <f>INDEX(resultados!$A$2:$ZZ$956, 611, MATCH($B$1, resultados!$A$1:$ZZ$1, 0))</f>
        <v>#N/A</v>
      </c>
      <c r="B617" t="e">
        <f>INDEX(resultados!$A$2:$ZZ$956, 611, MATCH($B$2, resultados!$A$1:$ZZ$1, 0))</f>
        <v>#N/A</v>
      </c>
      <c r="C617" t="e">
        <f>INDEX(resultados!$A$2:$ZZ$956, 611, MATCH($B$3, resultados!$A$1:$ZZ$1, 0))</f>
        <v>#N/A</v>
      </c>
    </row>
    <row r="618" spans="1:3" x14ac:dyDescent="0.3">
      <c r="A618" t="e">
        <f>INDEX(resultados!$A$2:$ZZ$956, 612, MATCH($B$1, resultados!$A$1:$ZZ$1, 0))</f>
        <v>#N/A</v>
      </c>
      <c r="B618" t="e">
        <f>INDEX(resultados!$A$2:$ZZ$956, 612, MATCH($B$2, resultados!$A$1:$ZZ$1, 0))</f>
        <v>#N/A</v>
      </c>
      <c r="C618" t="e">
        <f>INDEX(resultados!$A$2:$ZZ$956, 612, MATCH($B$3, resultados!$A$1:$ZZ$1, 0))</f>
        <v>#N/A</v>
      </c>
    </row>
    <row r="619" spans="1:3" x14ac:dyDescent="0.3">
      <c r="A619" t="e">
        <f>INDEX(resultados!$A$2:$ZZ$956, 613, MATCH($B$1, resultados!$A$1:$ZZ$1, 0))</f>
        <v>#N/A</v>
      </c>
      <c r="B619" t="e">
        <f>INDEX(resultados!$A$2:$ZZ$956, 613, MATCH($B$2, resultados!$A$1:$ZZ$1, 0))</f>
        <v>#N/A</v>
      </c>
      <c r="C619" t="e">
        <f>INDEX(resultados!$A$2:$ZZ$956, 613, MATCH($B$3, resultados!$A$1:$ZZ$1, 0))</f>
        <v>#N/A</v>
      </c>
    </row>
    <row r="620" spans="1:3" x14ac:dyDescent="0.3">
      <c r="A620" t="e">
        <f>INDEX(resultados!$A$2:$ZZ$956, 614, MATCH($B$1, resultados!$A$1:$ZZ$1, 0))</f>
        <v>#N/A</v>
      </c>
      <c r="B620" t="e">
        <f>INDEX(resultados!$A$2:$ZZ$956, 614, MATCH($B$2, resultados!$A$1:$ZZ$1, 0))</f>
        <v>#N/A</v>
      </c>
      <c r="C620" t="e">
        <f>INDEX(resultados!$A$2:$ZZ$956, 614, MATCH($B$3, resultados!$A$1:$ZZ$1, 0))</f>
        <v>#N/A</v>
      </c>
    </row>
    <row r="621" spans="1:3" x14ac:dyDescent="0.3">
      <c r="A621" t="e">
        <f>INDEX(resultados!$A$2:$ZZ$956, 615, MATCH($B$1, resultados!$A$1:$ZZ$1, 0))</f>
        <v>#N/A</v>
      </c>
      <c r="B621" t="e">
        <f>INDEX(resultados!$A$2:$ZZ$956, 615, MATCH($B$2, resultados!$A$1:$ZZ$1, 0))</f>
        <v>#N/A</v>
      </c>
      <c r="C621" t="e">
        <f>INDEX(resultados!$A$2:$ZZ$956, 615, MATCH($B$3, resultados!$A$1:$ZZ$1, 0))</f>
        <v>#N/A</v>
      </c>
    </row>
    <row r="622" spans="1:3" x14ac:dyDescent="0.3">
      <c r="A622" t="e">
        <f>INDEX(resultados!$A$2:$ZZ$956, 616, MATCH($B$1, resultados!$A$1:$ZZ$1, 0))</f>
        <v>#N/A</v>
      </c>
      <c r="B622" t="e">
        <f>INDEX(resultados!$A$2:$ZZ$956, 616, MATCH($B$2, resultados!$A$1:$ZZ$1, 0))</f>
        <v>#N/A</v>
      </c>
      <c r="C622" t="e">
        <f>INDEX(resultados!$A$2:$ZZ$956, 616, MATCH($B$3, resultados!$A$1:$ZZ$1, 0))</f>
        <v>#N/A</v>
      </c>
    </row>
    <row r="623" spans="1:3" x14ac:dyDescent="0.3">
      <c r="A623" t="e">
        <f>INDEX(resultados!$A$2:$ZZ$956, 617, MATCH($B$1, resultados!$A$1:$ZZ$1, 0))</f>
        <v>#N/A</v>
      </c>
      <c r="B623" t="e">
        <f>INDEX(resultados!$A$2:$ZZ$956, 617, MATCH($B$2, resultados!$A$1:$ZZ$1, 0))</f>
        <v>#N/A</v>
      </c>
      <c r="C623" t="e">
        <f>INDEX(resultados!$A$2:$ZZ$956, 617, MATCH($B$3, resultados!$A$1:$ZZ$1, 0))</f>
        <v>#N/A</v>
      </c>
    </row>
    <row r="624" spans="1:3" x14ac:dyDescent="0.3">
      <c r="A624" t="e">
        <f>INDEX(resultados!$A$2:$ZZ$956, 618, MATCH($B$1, resultados!$A$1:$ZZ$1, 0))</f>
        <v>#N/A</v>
      </c>
      <c r="B624" t="e">
        <f>INDEX(resultados!$A$2:$ZZ$956, 618, MATCH($B$2, resultados!$A$1:$ZZ$1, 0))</f>
        <v>#N/A</v>
      </c>
      <c r="C624" t="e">
        <f>INDEX(resultados!$A$2:$ZZ$956, 618, MATCH($B$3, resultados!$A$1:$ZZ$1, 0))</f>
        <v>#N/A</v>
      </c>
    </row>
    <row r="625" spans="1:3" x14ac:dyDescent="0.3">
      <c r="A625" t="e">
        <f>INDEX(resultados!$A$2:$ZZ$956, 619, MATCH($B$1, resultados!$A$1:$ZZ$1, 0))</f>
        <v>#N/A</v>
      </c>
      <c r="B625" t="e">
        <f>INDEX(resultados!$A$2:$ZZ$956, 619, MATCH($B$2, resultados!$A$1:$ZZ$1, 0))</f>
        <v>#N/A</v>
      </c>
      <c r="C625" t="e">
        <f>INDEX(resultados!$A$2:$ZZ$956, 619, MATCH($B$3, resultados!$A$1:$ZZ$1, 0))</f>
        <v>#N/A</v>
      </c>
    </row>
    <row r="626" spans="1:3" x14ac:dyDescent="0.3">
      <c r="A626" t="e">
        <f>INDEX(resultados!$A$2:$ZZ$956, 620, MATCH($B$1, resultados!$A$1:$ZZ$1, 0))</f>
        <v>#N/A</v>
      </c>
      <c r="B626" t="e">
        <f>INDEX(resultados!$A$2:$ZZ$956, 620, MATCH($B$2, resultados!$A$1:$ZZ$1, 0))</f>
        <v>#N/A</v>
      </c>
      <c r="C626" t="e">
        <f>INDEX(resultados!$A$2:$ZZ$956, 620, MATCH($B$3, resultados!$A$1:$ZZ$1, 0))</f>
        <v>#N/A</v>
      </c>
    </row>
    <row r="627" spans="1:3" x14ac:dyDescent="0.3">
      <c r="A627" t="e">
        <f>INDEX(resultados!$A$2:$ZZ$956, 621, MATCH($B$1, resultados!$A$1:$ZZ$1, 0))</f>
        <v>#N/A</v>
      </c>
      <c r="B627" t="e">
        <f>INDEX(resultados!$A$2:$ZZ$956, 621, MATCH($B$2, resultados!$A$1:$ZZ$1, 0))</f>
        <v>#N/A</v>
      </c>
      <c r="C627" t="e">
        <f>INDEX(resultados!$A$2:$ZZ$956, 621, MATCH($B$3, resultados!$A$1:$ZZ$1, 0))</f>
        <v>#N/A</v>
      </c>
    </row>
    <row r="628" spans="1:3" x14ac:dyDescent="0.3">
      <c r="A628" t="e">
        <f>INDEX(resultados!$A$2:$ZZ$956, 622, MATCH($B$1, resultados!$A$1:$ZZ$1, 0))</f>
        <v>#N/A</v>
      </c>
      <c r="B628" t="e">
        <f>INDEX(resultados!$A$2:$ZZ$956, 622, MATCH($B$2, resultados!$A$1:$ZZ$1, 0))</f>
        <v>#N/A</v>
      </c>
      <c r="C628" t="e">
        <f>INDEX(resultados!$A$2:$ZZ$956, 622, MATCH($B$3, resultados!$A$1:$ZZ$1, 0))</f>
        <v>#N/A</v>
      </c>
    </row>
    <row r="629" spans="1:3" x14ac:dyDescent="0.3">
      <c r="A629" t="e">
        <f>INDEX(resultados!$A$2:$ZZ$956, 623, MATCH($B$1, resultados!$A$1:$ZZ$1, 0))</f>
        <v>#N/A</v>
      </c>
      <c r="B629" t="e">
        <f>INDEX(resultados!$A$2:$ZZ$956, 623, MATCH($B$2, resultados!$A$1:$ZZ$1, 0))</f>
        <v>#N/A</v>
      </c>
      <c r="C629" t="e">
        <f>INDEX(resultados!$A$2:$ZZ$956, 623, MATCH($B$3, resultados!$A$1:$ZZ$1, 0))</f>
        <v>#N/A</v>
      </c>
    </row>
    <row r="630" spans="1:3" x14ac:dyDescent="0.3">
      <c r="A630" t="e">
        <f>INDEX(resultados!$A$2:$ZZ$956, 624, MATCH($B$1, resultados!$A$1:$ZZ$1, 0))</f>
        <v>#N/A</v>
      </c>
      <c r="B630" t="e">
        <f>INDEX(resultados!$A$2:$ZZ$956, 624, MATCH($B$2, resultados!$A$1:$ZZ$1, 0))</f>
        <v>#N/A</v>
      </c>
      <c r="C630" t="e">
        <f>INDEX(resultados!$A$2:$ZZ$956, 624, MATCH($B$3, resultados!$A$1:$ZZ$1, 0))</f>
        <v>#N/A</v>
      </c>
    </row>
    <row r="631" spans="1:3" x14ac:dyDescent="0.3">
      <c r="A631" t="e">
        <f>INDEX(resultados!$A$2:$ZZ$956, 625, MATCH($B$1, resultados!$A$1:$ZZ$1, 0))</f>
        <v>#N/A</v>
      </c>
      <c r="B631" t="e">
        <f>INDEX(resultados!$A$2:$ZZ$956, 625, MATCH($B$2, resultados!$A$1:$ZZ$1, 0))</f>
        <v>#N/A</v>
      </c>
      <c r="C631" t="e">
        <f>INDEX(resultados!$A$2:$ZZ$956, 625, MATCH($B$3, resultados!$A$1:$ZZ$1, 0))</f>
        <v>#N/A</v>
      </c>
    </row>
    <row r="632" spans="1:3" x14ac:dyDescent="0.3">
      <c r="A632" t="e">
        <f>INDEX(resultados!$A$2:$ZZ$956, 626, MATCH($B$1, resultados!$A$1:$ZZ$1, 0))</f>
        <v>#N/A</v>
      </c>
      <c r="B632" t="e">
        <f>INDEX(resultados!$A$2:$ZZ$956, 626, MATCH($B$2, resultados!$A$1:$ZZ$1, 0))</f>
        <v>#N/A</v>
      </c>
      <c r="C632" t="e">
        <f>INDEX(resultados!$A$2:$ZZ$956, 626, MATCH($B$3, resultados!$A$1:$ZZ$1, 0))</f>
        <v>#N/A</v>
      </c>
    </row>
    <row r="633" spans="1:3" x14ac:dyDescent="0.3">
      <c r="A633" t="e">
        <f>INDEX(resultados!$A$2:$ZZ$956, 627, MATCH($B$1, resultados!$A$1:$ZZ$1, 0))</f>
        <v>#N/A</v>
      </c>
      <c r="B633" t="e">
        <f>INDEX(resultados!$A$2:$ZZ$956, 627, MATCH($B$2, resultados!$A$1:$ZZ$1, 0))</f>
        <v>#N/A</v>
      </c>
      <c r="C633" t="e">
        <f>INDEX(resultados!$A$2:$ZZ$956, 627, MATCH($B$3, resultados!$A$1:$ZZ$1, 0))</f>
        <v>#N/A</v>
      </c>
    </row>
    <row r="634" spans="1:3" x14ac:dyDescent="0.3">
      <c r="A634" t="e">
        <f>INDEX(resultados!$A$2:$ZZ$956, 628, MATCH($B$1, resultados!$A$1:$ZZ$1, 0))</f>
        <v>#N/A</v>
      </c>
      <c r="B634" t="e">
        <f>INDEX(resultados!$A$2:$ZZ$956, 628, MATCH($B$2, resultados!$A$1:$ZZ$1, 0))</f>
        <v>#N/A</v>
      </c>
      <c r="C634" t="e">
        <f>INDEX(resultados!$A$2:$ZZ$956, 628, MATCH($B$3, resultados!$A$1:$ZZ$1, 0))</f>
        <v>#N/A</v>
      </c>
    </row>
    <row r="635" spans="1:3" x14ac:dyDescent="0.3">
      <c r="A635" t="e">
        <f>INDEX(resultados!$A$2:$ZZ$956, 629, MATCH($B$1, resultados!$A$1:$ZZ$1, 0))</f>
        <v>#N/A</v>
      </c>
      <c r="B635" t="e">
        <f>INDEX(resultados!$A$2:$ZZ$956, 629, MATCH($B$2, resultados!$A$1:$ZZ$1, 0))</f>
        <v>#N/A</v>
      </c>
      <c r="C635" t="e">
        <f>INDEX(resultados!$A$2:$ZZ$956, 629, MATCH($B$3, resultados!$A$1:$ZZ$1, 0))</f>
        <v>#N/A</v>
      </c>
    </row>
    <row r="636" spans="1:3" x14ac:dyDescent="0.3">
      <c r="A636" t="e">
        <f>INDEX(resultados!$A$2:$ZZ$956, 630, MATCH($B$1, resultados!$A$1:$ZZ$1, 0))</f>
        <v>#N/A</v>
      </c>
      <c r="B636" t="e">
        <f>INDEX(resultados!$A$2:$ZZ$956, 630, MATCH($B$2, resultados!$A$1:$ZZ$1, 0))</f>
        <v>#N/A</v>
      </c>
      <c r="C636" t="e">
        <f>INDEX(resultados!$A$2:$ZZ$956, 630, MATCH($B$3, resultados!$A$1:$ZZ$1, 0))</f>
        <v>#N/A</v>
      </c>
    </row>
    <row r="637" spans="1:3" x14ac:dyDescent="0.3">
      <c r="A637" t="e">
        <f>INDEX(resultados!$A$2:$ZZ$956, 631, MATCH($B$1, resultados!$A$1:$ZZ$1, 0))</f>
        <v>#N/A</v>
      </c>
      <c r="B637" t="e">
        <f>INDEX(resultados!$A$2:$ZZ$956, 631, MATCH($B$2, resultados!$A$1:$ZZ$1, 0))</f>
        <v>#N/A</v>
      </c>
      <c r="C637" t="e">
        <f>INDEX(resultados!$A$2:$ZZ$956, 631, MATCH($B$3, resultados!$A$1:$ZZ$1, 0))</f>
        <v>#N/A</v>
      </c>
    </row>
    <row r="638" spans="1:3" x14ac:dyDescent="0.3">
      <c r="A638" t="e">
        <f>INDEX(resultados!$A$2:$ZZ$956, 632, MATCH($B$1, resultados!$A$1:$ZZ$1, 0))</f>
        <v>#N/A</v>
      </c>
      <c r="B638" t="e">
        <f>INDEX(resultados!$A$2:$ZZ$956, 632, MATCH($B$2, resultados!$A$1:$ZZ$1, 0))</f>
        <v>#N/A</v>
      </c>
      <c r="C638" t="e">
        <f>INDEX(resultados!$A$2:$ZZ$956, 632, MATCH($B$3, resultados!$A$1:$ZZ$1, 0))</f>
        <v>#N/A</v>
      </c>
    </row>
    <row r="639" spans="1:3" x14ac:dyDescent="0.3">
      <c r="A639" t="e">
        <f>INDEX(resultados!$A$2:$ZZ$956, 633, MATCH($B$1, resultados!$A$1:$ZZ$1, 0))</f>
        <v>#N/A</v>
      </c>
      <c r="B639" t="e">
        <f>INDEX(resultados!$A$2:$ZZ$956, 633, MATCH($B$2, resultados!$A$1:$ZZ$1, 0))</f>
        <v>#N/A</v>
      </c>
      <c r="C639" t="e">
        <f>INDEX(resultados!$A$2:$ZZ$956, 633, MATCH($B$3, resultados!$A$1:$ZZ$1, 0))</f>
        <v>#N/A</v>
      </c>
    </row>
    <row r="640" spans="1:3" x14ac:dyDescent="0.3">
      <c r="A640" t="e">
        <f>INDEX(resultados!$A$2:$ZZ$956, 634, MATCH($B$1, resultados!$A$1:$ZZ$1, 0))</f>
        <v>#N/A</v>
      </c>
      <c r="B640" t="e">
        <f>INDEX(resultados!$A$2:$ZZ$956, 634, MATCH($B$2, resultados!$A$1:$ZZ$1, 0))</f>
        <v>#N/A</v>
      </c>
      <c r="C640" t="e">
        <f>INDEX(resultados!$A$2:$ZZ$956, 634, MATCH($B$3, resultados!$A$1:$ZZ$1, 0))</f>
        <v>#N/A</v>
      </c>
    </row>
    <row r="641" spans="1:3" x14ac:dyDescent="0.3">
      <c r="A641" t="e">
        <f>INDEX(resultados!$A$2:$ZZ$956, 635, MATCH($B$1, resultados!$A$1:$ZZ$1, 0))</f>
        <v>#N/A</v>
      </c>
      <c r="B641" t="e">
        <f>INDEX(resultados!$A$2:$ZZ$956, 635, MATCH($B$2, resultados!$A$1:$ZZ$1, 0))</f>
        <v>#N/A</v>
      </c>
      <c r="C641" t="e">
        <f>INDEX(resultados!$A$2:$ZZ$956, 635, MATCH($B$3, resultados!$A$1:$ZZ$1, 0))</f>
        <v>#N/A</v>
      </c>
    </row>
    <row r="642" spans="1:3" x14ac:dyDescent="0.3">
      <c r="A642" t="e">
        <f>INDEX(resultados!$A$2:$ZZ$956, 636, MATCH($B$1, resultados!$A$1:$ZZ$1, 0))</f>
        <v>#N/A</v>
      </c>
      <c r="B642" t="e">
        <f>INDEX(resultados!$A$2:$ZZ$956, 636, MATCH($B$2, resultados!$A$1:$ZZ$1, 0))</f>
        <v>#N/A</v>
      </c>
      <c r="C642" t="e">
        <f>INDEX(resultados!$A$2:$ZZ$956, 636, MATCH($B$3, resultados!$A$1:$ZZ$1, 0))</f>
        <v>#N/A</v>
      </c>
    </row>
    <row r="643" spans="1:3" x14ac:dyDescent="0.3">
      <c r="A643" t="e">
        <f>INDEX(resultados!$A$2:$ZZ$956, 637, MATCH($B$1, resultados!$A$1:$ZZ$1, 0))</f>
        <v>#N/A</v>
      </c>
      <c r="B643" t="e">
        <f>INDEX(resultados!$A$2:$ZZ$956, 637, MATCH($B$2, resultados!$A$1:$ZZ$1, 0))</f>
        <v>#N/A</v>
      </c>
      <c r="C643" t="e">
        <f>INDEX(resultados!$A$2:$ZZ$956, 637, MATCH($B$3, resultados!$A$1:$ZZ$1, 0))</f>
        <v>#N/A</v>
      </c>
    </row>
    <row r="644" spans="1:3" x14ac:dyDescent="0.3">
      <c r="A644" t="e">
        <f>INDEX(resultados!$A$2:$ZZ$956, 638, MATCH($B$1, resultados!$A$1:$ZZ$1, 0))</f>
        <v>#N/A</v>
      </c>
      <c r="B644" t="e">
        <f>INDEX(resultados!$A$2:$ZZ$956, 638, MATCH($B$2, resultados!$A$1:$ZZ$1, 0))</f>
        <v>#N/A</v>
      </c>
      <c r="C644" t="e">
        <f>INDEX(resultados!$A$2:$ZZ$956, 638, MATCH($B$3, resultados!$A$1:$ZZ$1, 0))</f>
        <v>#N/A</v>
      </c>
    </row>
    <row r="645" spans="1:3" x14ac:dyDescent="0.3">
      <c r="A645" t="e">
        <f>INDEX(resultados!$A$2:$ZZ$956, 639, MATCH($B$1, resultados!$A$1:$ZZ$1, 0))</f>
        <v>#N/A</v>
      </c>
      <c r="B645" t="e">
        <f>INDEX(resultados!$A$2:$ZZ$956, 639, MATCH($B$2, resultados!$A$1:$ZZ$1, 0))</f>
        <v>#N/A</v>
      </c>
      <c r="C645" t="e">
        <f>INDEX(resultados!$A$2:$ZZ$956, 639, MATCH($B$3, resultados!$A$1:$ZZ$1, 0))</f>
        <v>#N/A</v>
      </c>
    </row>
    <row r="646" spans="1:3" x14ac:dyDescent="0.3">
      <c r="A646" t="e">
        <f>INDEX(resultados!$A$2:$ZZ$956, 640, MATCH($B$1, resultados!$A$1:$ZZ$1, 0))</f>
        <v>#N/A</v>
      </c>
      <c r="B646" t="e">
        <f>INDEX(resultados!$A$2:$ZZ$956, 640, MATCH($B$2, resultados!$A$1:$ZZ$1, 0))</f>
        <v>#N/A</v>
      </c>
      <c r="C646" t="e">
        <f>INDEX(resultados!$A$2:$ZZ$956, 640, MATCH($B$3, resultados!$A$1:$ZZ$1, 0))</f>
        <v>#N/A</v>
      </c>
    </row>
    <row r="647" spans="1:3" x14ac:dyDescent="0.3">
      <c r="A647" t="e">
        <f>INDEX(resultados!$A$2:$ZZ$956, 641, MATCH($B$1, resultados!$A$1:$ZZ$1, 0))</f>
        <v>#N/A</v>
      </c>
      <c r="B647" t="e">
        <f>INDEX(resultados!$A$2:$ZZ$956, 641, MATCH($B$2, resultados!$A$1:$ZZ$1, 0))</f>
        <v>#N/A</v>
      </c>
      <c r="C647" t="e">
        <f>INDEX(resultados!$A$2:$ZZ$956, 641, MATCH($B$3, resultados!$A$1:$ZZ$1, 0))</f>
        <v>#N/A</v>
      </c>
    </row>
    <row r="648" spans="1:3" x14ac:dyDescent="0.3">
      <c r="A648" t="e">
        <f>INDEX(resultados!$A$2:$ZZ$956, 642, MATCH($B$1, resultados!$A$1:$ZZ$1, 0))</f>
        <v>#N/A</v>
      </c>
      <c r="B648" t="e">
        <f>INDEX(resultados!$A$2:$ZZ$956, 642, MATCH($B$2, resultados!$A$1:$ZZ$1, 0))</f>
        <v>#N/A</v>
      </c>
      <c r="C648" t="e">
        <f>INDEX(resultados!$A$2:$ZZ$956, 642, MATCH($B$3, resultados!$A$1:$ZZ$1, 0))</f>
        <v>#N/A</v>
      </c>
    </row>
    <row r="649" spans="1:3" x14ac:dyDescent="0.3">
      <c r="A649" t="e">
        <f>INDEX(resultados!$A$2:$ZZ$956, 643, MATCH($B$1, resultados!$A$1:$ZZ$1, 0))</f>
        <v>#N/A</v>
      </c>
      <c r="B649" t="e">
        <f>INDEX(resultados!$A$2:$ZZ$956, 643, MATCH($B$2, resultados!$A$1:$ZZ$1, 0))</f>
        <v>#N/A</v>
      </c>
      <c r="C649" t="e">
        <f>INDEX(resultados!$A$2:$ZZ$956, 643, MATCH($B$3, resultados!$A$1:$ZZ$1, 0))</f>
        <v>#N/A</v>
      </c>
    </row>
    <row r="650" spans="1:3" x14ac:dyDescent="0.3">
      <c r="A650" t="e">
        <f>INDEX(resultados!$A$2:$ZZ$956, 644, MATCH($B$1, resultados!$A$1:$ZZ$1, 0))</f>
        <v>#N/A</v>
      </c>
      <c r="B650" t="e">
        <f>INDEX(resultados!$A$2:$ZZ$956, 644, MATCH($B$2, resultados!$A$1:$ZZ$1, 0))</f>
        <v>#N/A</v>
      </c>
      <c r="C650" t="e">
        <f>INDEX(resultados!$A$2:$ZZ$956, 644, MATCH($B$3, resultados!$A$1:$ZZ$1, 0))</f>
        <v>#N/A</v>
      </c>
    </row>
    <row r="651" spans="1:3" x14ac:dyDescent="0.3">
      <c r="A651" t="e">
        <f>INDEX(resultados!$A$2:$ZZ$956, 645, MATCH($B$1, resultados!$A$1:$ZZ$1, 0))</f>
        <v>#N/A</v>
      </c>
      <c r="B651" t="e">
        <f>INDEX(resultados!$A$2:$ZZ$956, 645, MATCH($B$2, resultados!$A$1:$ZZ$1, 0))</f>
        <v>#N/A</v>
      </c>
      <c r="C651" t="e">
        <f>INDEX(resultados!$A$2:$ZZ$956, 645, MATCH($B$3, resultados!$A$1:$ZZ$1, 0))</f>
        <v>#N/A</v>
      </c>
    </row>
    <row r="652" spans="1:3" x14ac:dyDescent="0.3">
      <c r="A652" t="e">
        <f>INDEX(resultados!$A$2:$ZZ$956, 646, MATCH($B$1, resultados!$A$1:$ZZ$1, 0))</f>
        <v>#N/A</v>
      </c>
      <c r="B652" t="e">
        <f>INDEX(resultados!$A$2:$ZZ$956, 646, MATCH($B$2, resultados!$A$1:$ZZ$1, 0))</f>
        <v>#N/A</v>
      </c>
      <c r="C652" t="e">
        <f>INDEX(resultados!$A$2:$ZZ$956, 646, MATCH($B$3, resultados!$A$1:$ZZ$1, 0))</f>
        <v>#N/A</v>
      </c>
    </row>
    <row r="653" spans="1:3" x14ac:dyDescent="0.3">
      <c r="A653" t="e">
        <f>INDEX(resultados!$A$2:$ZZ$956, 647, MATCH($B$1, resultados!$A$1:$ZZ$1, 0))</f>
        <v>#N/A</v>
      </c>
      <c r="B653" t="e">
        <f>INDEX(resultados!$A$2:$ZZ$956, 647, MATCH($B$2, resultados!$A$1:$ZZ$1, 0))</f>
        <v>#N/A</v>
      </c>
      <c r="C653" t="e">
        <f>INDEX(resultados!$A$2:$ZZ$956, 647, MATCH($B$3, resultados!$A$1:$ZZ$1, 0))</f>
        <v>#N/A</v>
      </c>
    </row>
    <row r="654" spans="1:3" x14ac:dyDescent="0.3">
      <c r="A654" t="e">
        <f>INDEX(resultados!$A$2:$ZZ$956, 648, MATCH($B$1, resultados!$A$1:$ZZ$1, 0))</f>
        <v>#N/A</v>
      </c>
      <c r="B654" t="e">
        <f>INDEX(resultados!$A$2:$ZZ$956, 648, MATCH($B$2, resultados!$A$1:$ZZ$1, 0))</f>
        <v>#N/A</v>
      </c>
      <c r="C654" t="e">
        <f>INDEX(resultados!$A$2:$ZZ$956, 648, MATCH($B$3, resultados!$A$1:$ZZ$1, 0))</f>
        <v>#N/A</v>
      </c>
    </row>
    <row r="655" spans="1:3" x14ac:dyDescent="0.3">
      <c r="A655" t="e">
        <f>INDEX(resultados!$A$2:$ZZ$956, 649, MATCH($B$1, resultados!$A$1:$ZZ$1, 0))</f>
        <v>#N/A</v>
      </c>
      <c r="B655" t="e">
        <f>INDEX(resultados!$A$2:$ZZ$956, 649, MATCH($B$2, resultados!$A$1:$ZZ$1, 0))</f>
        <v>#N/A</v>
      </c>
      <c r="C655" t="e">
        <f>INDEX(resultados!$A$2:$ZZ$956, 649, MATCH($B$3, resultados!$A$1:$ZZ$1, 0))</f>
        <v>#N/A</v>
      </c>
    </row>
    <row r="656" spans="1:3" x14ac:dyDescent="0.3">
      <c r="A656" t="e">
        <f>INDEX(resultados!$A$2:$ZZ$956, 650, MATCH($B$1, resultados!$A$1:$ZZ$1, 0))</f>
        <v>#N/A</v>
      </c>
      <c r="B656" t="e">
        <f>INDEX(resultados!$A$2:$ZZ$956, 650, MATCH($B$2, resultados!$A$1:$ZZ$1, 0))</f>
        <v>#N/A</v>
      </c>
      <c r="C656" t="e">
        <f>INDEX(resultados!$A$2:$ZZ$956, 650, MATCH($B$3, resultados!$A$1:$ZZ$1, 0))</f>
        <v>#N/A</v>
      </c>
    </row>
    <row r="657" spans="1:3" x14ac:dyDescent="0.3">
      <c r="A657" t="e">
        <f>INDEX(resultados!$A$2:$ZZ$956, 651, MATCH($B$1, resultados!$A$1:$ZZ$1, 0))</f>
        <v>#N/A</v>
      </c>
      <c r="B657" t="e">
        <f>INDEX(resultados!$A$2:$ZZ$956, 651, MATCH($B$2, resultados!$A$1:$ZZ$1, 0))</f>
        <v>#N/A</v>
      </c>
      <c r="C657" t="e">
        <f>INDEX(resultados!$A$2:$ZZ$956, 651, MATCH($B$3, resultados!$A$1:$ZZ$1, 0))</f>
        <v>#N/A</v>
      </c>
    </row>
    <row r="658" spans="1:3" x14ac:dyDescent="0.3">
      <c r="A658" t="e">
        <f>INDEX(resultados!$A$2:$ZZ$956, 652, MATCH($B$1, resultados!$A$1:$ZZ$1, 0))</f>
        <v>#N/A</v>
      </c>
      <c r="B658" t="e">
        <f>INDEX(resultados!$A$2:$ZZ$956, 652, MATCH($B$2, resultados!$A$1:$ZZ$1, 0))</f>
        <v>#N/A</v>
      </c>
      <c r="C658" t="e">
        <f>INDEX(resultados!$A$2:$ZZ$956, 652, MATCH($B$3, resultados!$A$1:$ZZ$1, 0))</f>
        <v>#N/A</v>
      </c>
    </row>
    <row r="659" spans="1:3" x14ac:dyDescent="0.3">
      <c r="A659" t="e">
        <f>INDEX(resultados!$A$2:$ZZ$956, 653, MATCH($B$1, resultados!$A$1:$ZZ$1, 0))</f>
        <v>#N/A</v>
      </c>
      <c r="B659" t="e">
        <f>INDEX(resultados!$A$2:$ZZ$956, 653, MATCH($B$2, resultados!$A$1:$ZZ$1, 0))</f>
        <v>#N/A</v>
      </c>
      <c r="C659" t="e">
        <f>INDEX(resultados!$A$2:$ZZ$956, 653, MATCH($B$3, resultados!$A$1:$ZZ$1, 0))</f>
        <v>#N/A</v>
      </c>
    </row>
    <row r="660" spans="1:3" x14ac:dyDescent="0.3">
      <c r="A660" t="e">
        <f>INDEX(resultados!$A$2:$ZZ$956, 654, MATCH($B$1, resultados!$A$1:$ZZ$1, 0))</f>
        <v>#N/A</v>
      </c>
      <c r="B660" t="e">
        <f>INDEX(resultados!$A$2:$ZZ$956, 654, MATCH($B$2, resultados!$A$1:$ZZ$1, 0))</f>
        <v>#N/A</v>
      </c>
      <c r="C660" t="e">
        <f>INDEX(resultados!$A$2:$ZZ$956, 654, MATCH($B$3, resultados!$A$1:$ZZ$1, 0))</f>
        <v>#N/A</v>
      </c>
    </row>
    <row r="661" spans="1:3" x14ac:dyDescent="0.3">
      <c r="A661" t="e">
        <f>INDEX(resultados!$A$2:$ZZ$956, 655, MATCH($B$1, resultados!$A$1:$ZZ$1, 0))</f>
        <v>#N/A</v>
      </c>
      <c r="B661" t="e">
        <f>INDEX(resultados!$A$2:$ZZ$956, 655, MATCH($B$2, resultados!$A$1:$ZZ$1, 0))</f>
        <v>#N/A</v>
      </c>
      <c r="C661" t="e">
        <f>INDEX(resultados!$A$2:$ZZ$956, 655, MATCH($B$3, resultados!$A$1:$ZZ$1, 0))</f>
        <v>#N/A</v>
      </c>
    </row>
    <row r="662" spans="1:3" x14ac:dyDescent="0.3">
      <c r="A662" t="e">
        <f>INDEX(resultados!$A$2:$ZZ$956, 656, MATCH($B$1, resultados!$A$1:$ZZ$1, 0))</f>
        <v>#N/A</v>
      </c>
      <c r="B662" t="e">
        <f>INDEX(resultados!$A$2:$ZZ$956, 656, MATCH($B$2, resultados!$A$1:$ZZ$1, 0))</f>
        <v>#N/A</v>
      </c>
      <c r="C662" t="e">
        <f>INDEX(resultados!$A$2:$ZZ$956, 656, MATCH($B$3, resultados!$A$1:$ZZ$1, 0))</f>
        <v>#N/A</v>
      </c>
    </row>
    <row r="663" spans="1:3" x14ac:dyDescent="0.3">
      <c r="A663" t="e">
        <f>INDEX(resultados!$A$2:$ZZ$956, 657, MATCH($B$1, resultados!$A$1:$ZZ$1, 0))</f>
        <v>#N/A</v>
      </c>
      <c r="B663" t="e">
        <f>INDEX(resultados!$A$2:$ZZ$956, 657, MATCH($B$2, resultados!$A$1:$ZZ$1, 0))</f>
        <v>#N/A</v>
      </c>
      <c r="C663" t="e">
        <f>INDEX(resultados!$A$2:$ZZ$956, 657, MATCH($B$3, resultados!$A$1:$ZZ$1, 0))</f>
        <v>#N/A</v>
      </c>
    </row>
    <row r="664" spans="1:3" x14ac:dyDescent="0.3">
      <c r="A664" t="e">
        <f>INDEX(resultados!$A$2:$ZZ$956, 658, MATCH($B$1, resultados!$A$1:$ZZ$1, 0))</f>
        <v>#N/A</v>
      </c>
      <c r="B664" t="e">
        <f>INDEX(resultados!$A$2:$ZZ$956, 658, MATCH($B$2, resultados!$A$1:$ZZ$1, 0))</f>
        <v>#N/A</v>
      </c>
      <c r="C664" t="e">
        <f>INDEX(resultados!$A$2:$ZZ$956, 658, MATCH($B$3, resultados!$A$1:$ZZ$1, 0))</f>
        <v>#N/A</v>
      </c>
    </row>
    <row r="665" spans="1:3" x14ac:dyDescent="0.3">
      <c r="A665" t="e">
        <f>INDEX(resultados!$A$2:$ZZ$956, 659, MATCH($B$1, resultados!$A$1:$ZZ$1, 0))</f>
        <v>#N/A</v>
      </c>
      <c r="B665" t="e">
        <f>INDEX(resultados!$A$2:$ZZ$956, 659, MATCH($B$2, resultados!$A$1:$ZZ$1, 0))</f>
        <v>#N/A</v>
      </c>
      <c r="C665" t="e">
        <f>INDEX(resultados!$A$2:$ZZ$956, 659, MATCH($B$3, resultados!$A$1:$ZZ$1, 0))</f>
        <v>#N/A</v>
      </c>
    </row>
    <row r="666" spans="1:3" x14ac:dyDescent="0.3">
      <c r="A666" t="e">
        <f>INDEX(resultados!$A$2:$ZZ$956, 660, MATCH($B$1, resultados!$A$1:$ZZ$1, 0))</f>
        <v>#N/A</v>
      </c>
      <c r="B666" t="e">
        <f>INDEX(resultados!$A$2:$ZZ$956, 660, MATCH($B$2, resultados!$A$1:$ZZ$1, 0))</f>
        <v>#N/A</v>
      </c>
      <c r="C666" t="e">
        <f>INDEX(resultados!$A$2:$ZZ$956, 660, MATCH($B$3, resultados!$A$1:$ZZ$1, 0))</f>
        <v>#N/A</v>
      </c>
    </row>
    <row r="667" spans="1:3" x14ac:dyDescent="0.3">
      <c r="A667" t="e">
        <f>INDEX(resultados!$A$2:$ZZ$956, 661, MATCH($B$1, resultados!$A$1:$ZZ$1, 0))</f>
        <v>#N/A</v>
      </c>
      <c r="B667" t="e">
        <f>INDEX(resultados!$A$2:$ZZ$956, 661, MATCH($B$2, resultados!$A$1:$ZZ$1, 0))</f>
        <v>#N/A</v>
      </c>
      <c r="C667" t="e">
        <f>INDEX(resultados!$A$2:$ZZ$956, 661, MATCH($B$3, resultados!$A$1:$ZZ$1, 0))</f>
        <v>#N/A</v>
      </c>
    </row>
    <row r="668" spans="1:3" x14ac:dyDescent="0.3">
      <c r="A668" t="e">
        <f>INDEX(resultados!$A$2:$ZZ$956, 662, MATCH($B$1, resultados!$A$1:$ZZ$1, 0))</f>
        <v>#N/A</v>
      </c>
      <c r="B668" t="e">
        <f>INDEX(resultados!$A$2:$ZZ$956, 662, MATCH($B$2, resultados!$A$1:$ZZ$1, 0))</f>
        <v>#N/A</v>
      </c>
      <c r="C668" t="e">
        <f>INDEX(resultados!$A$2:$ZZ$956, 662, MATCH($B$3, resultados!$A$1:$ZZ$1, 0))</f>
        <v>#N/A</v>
      </c>
    </row>
    <row r="669" spans="1:3" x14ac:dyDescent="0.3">
      <c r="A669" t="e">
        <f>INDEX(resultados!$A$2:$ZZ$956, 663, MATCH($B$1, resultados!$A$1:$ZZ$1, 0))</f>
        <v>#N/A</v>
      </c>
      <c r="B669" t="e">
        <f>INDEX(resultados!$A$2:$ZZ$956, 663, MATCH($B$2, resultados!$A$1:$ZZ$1, 0))</f>
        <v>#N/A</v>
      </c>
      <c r="C669" t="e">
        <f>INDEX(resultados!$A$2:$ZZ$956, 663, MATCH($B$3, resultados!$A$1:$ZZ$1, 0))</f>
        <v>#N/A</v>
      </c>
    </row>
    <row r="670" spans="1:3" x14ac:dyDescent="0.3">
      <c r="A670" t="e">
        <f>INDEX(resultados!$A$2:$ZZ$956, 664, MATCH($B$1, resultados!$A$1:$ZZ$1, 0))</f>
        <v>#N/A</v>
      </c>
      <c r="B670" t="e">
        <f>INDEX(resultados!$A$2:$ZZ$956, 664, MATCH($B$2, resultados!$A$1:$ZZ$1, 0))</f>
        <v>#N/A</v>
      </c>
      <c r="C670" t="e">
        <f>INDEX(resultados!$A$2:$ZZ$956, 664, MATCH($B$3, resultados!$A$1:$ZZ$1, 0))</f>
        <v>#N/A</v>
      </c>
    </row>
    <row r="671" spans="1:3" x14ac:dyDescent="0.3">
      <c r="A671" t="e">
        <f>INDEX(resultados!$A$2:$ZZ$956, 665, MATCH($B$1, resultados!$A$1:$ZZ$1, 0))</f>
        <v>#N/A</v>
      </c>
      <c r="B671" t="e">
        <f>INDEX(resultados!$A$2:$ZZ$956, 665, MATCH($B$2, resultados!$A$1:$ZZ$1, 0))</f>
        <v>#N/A</v>
      </c>
      <c r="C671" t="e">
        <f>INDEX(resultados!$A$2:$ZZ$956, 665, MATCH($B$3, resultados!$A$1:$ZZ$1, 0))</f>
        <v>#N/A</v>
      </c>
    </row>
    <row r="672" spans="1:3" x14ac:dyDescent="0.3">
      <c r="A672" t="e">
        <f>INDEX(resultados!$A$2:$ZZ$956, 666, MATCH($B$1, resultados!$A$1:$ZZ$1, 0))</f>
        <v>#N/A</v>
      </c>
      <c r="B672" t="e">
        <f>INDEX(resultados!$A$2:$ZZ$956, 666, MATCH($B$2, resultados!$A$1:$ZZ$1, 0))</f>
        <v>#N/A</v>
      </c>
      <c r="C672" t="e">
        <f>INDEX(resultados!$A$2:$ZZ$956, 666, MATCH($B$3, resultados!$A$1:$ZZ$1, 0))</f>
        <v>#N/A</v>
      </c>
    </row>
    <row r="673" spans="1:3" x14ac:dyDescent="0.3">
      <c r="A673" t="e">
        <f>INDEX(resultados!$A$2:$ZZ$956, 667, MATCH($B$1, resultados!$A$1:$ZZ$1, 0))</f>
        <v>#N/A</v>
      </c>
      <c r="B673" t="e">
        <f>INDEX(resultados!$A$2:$ZZ$956, 667, MATCH($B$2, resultados!$A$1:$ZZ$1, 0))</f>
        <v>#N/A</v>
      </c>
      <c r="C673" t="e">
        <f>INDEX(resultados!$A$2:$ZZ$956, 667, MATCH($B$3, resultados!$A$1:$ZZ$1, 0))</f>
        <v>#N/A</v>
      </c>
    </row>
    <row r="674" spans="1:3" x14ac:dyDescent="0.3">
      <c r="A674" t="e">
        <f>INDEX(resultados!$A$2:$ZZ$956, 668, MATCH($B$1, resultados!$A$1:$ZZ$1, 0))</f>
        <v>#N/A</v>
      </c>
      <c r="B674" t="e">
        <f>INDEX(resultados!$A$2:$ZZ$956, 668, MATCH($B$2, resultados!$A$1:$ZZ$1, 0))</f>
        <v>#N/A</v>
      </c>
      <c r="C674" t="e">
        <f>INDEX(resultados!$A$2:$ZZ$956, 668, MATCH($B$3, resultados!$A$1:$ZZ$1, 0))</f>
        <v>#N/A</v>
      </c>
    </row>
    <row r="675" spans="1:3" x14ac:dyDescent="0.3">
      <c r="A675" t="e">
        <f>INDEX(resultados!$A$2:$ZZ$956, 669, MATCH($B$1, resultados!$A$1:$ZZ$1, 0))</f>
        <v>#N/A</v>
      </c>
      <c r="B675" t="e">
        <f>INDEX(resultados!$A$2:$ZZ$956, 669, MATCH($B$2, resultados!$A$1:$ZZ$1, 0))</f>
        <v>#N/A</v>
      </c>
      <c r="C675" t="e">
        <f>INDEX(resultados!$A$2:$ZZ$956, 669, MATCH($B$3, resultados!$A$1:$ZZ$1, 0))</f>
        <v>#N/A</v>
      </c>
    </row>
    <row r="676" spans="1:3" x14ac:dyDescent="0.3">
      <c r="A676" t="e">
        <f>INDEX(resultados!$A$2:$ZZ$956, 670, MATCH($B$1, resultados!$A$1:$ZZ$1, 0))</f>
        <v>#N/A</v>
      </c>
      <c r="B676" t="e">
        <f>INDEX(resultados!$A$2:$ZZ$956, 670, MATCH($B$2, resultados!$A$1:$ZZ$1, 0))</f>
        <v>#N/A</v>
      </c>
      <c r="C676" t="e">
        <f>INDEX(resultados!$A$2:$ZZ$956, 670, MATCH($B$3, resultados!$A$1:$ZZ$1, 0))</f>
        <v>#N/A</v>
      </c>
    </row>
    <row r="677" spans="1:3" x14ac:dyDescent="0.3">
      <c r="A677" t="e">
        <f>INDEX(resultados!$A$2:$ZZ$956, 671, MATCH($B$1, resultados!$A$1:$ZZ$1, 0))</f>
        <v>#N/A</v>
      </c>
      <c r="B677" t="e">
        <f>INDEX(resultados!$A$2:$ZZ$956, 671, MATCH($B$2, resultados!$A$1:$ZZ$1, 0))</f>
        <v>#N/A</v>
      </c>
      <c r="C677" t="e">
        <f>INDEX(resultados!$A$2:$ZZ$956, 671, MATCH($B$3, resultados!$A$1:$ZZ$1, 0))</f>
        <v>#N/A</v>
      </c>
    </row>
    <row r="678" spans="1:3" x14ac:dyDescent="0.3">
      <c r="A678" t="e">
        <f>INDEX(resultados!$A$2:$ZZ$956, 672, MATCH($B$1, resultados!$A$1:$ZZ$1, 0))</f>
        <v>#N/A</v>
      </c>
      <c r="B678" t="e">
        <f>INDEX(resultados!$A$2:$ZZ$956, 672, MATCH($B$2, resultados!$A$1:$ZZ$1, 0))</f>
        <v>#N/A</v>
      </c>
      <c r="C678" t="e">
        <f>INDEX(resultados!$A$2:$ZZ$956, 672, MATCH($B$3, resultados!$A$1:$ZZ$1, 0))</f>
        <v>#N/A</v>
      </c>
    </row>
    <row r="679" spans="1:3" x14ac:dyDescent="0.3">
      <c r="A679" t="e">
        <f>INDEX(resultados!$A$2:$ZZ$956, 673, MATCH($B$1, resultados!$A$1:$ZZ$1, 0))</f>
        <v>#N/A</v>
      </c>
      <c r="B679" t="e">
        <f>INDEX(resultados!$A$2:$ZZ$956, 673, MATCH($B$2, resultados!$A$1:$ZZ$1, 0))</f>
        <v>#N/A</v>
      </c>
      <c r="C679" t="e">
        <f>INDEX(resultados!$A$2:$ZZ$956, 673, MATCH($B$3, resultados!$A$1:$ZZ$1, 0))</f>
        <v>#N/A</v>
      </c>
    </row>
    <row r="680" spans="1:3" x14ac:dyDescent="0.3">
      <c r="A680" t="e">
        <f>INDEX(resultados!$A$2:$ZZ$956, 674, MATCH($B$1, resultados!$A$1:$ZZ$1, 0))</f>
        <v>#N/A</v>
      </c>
      <c r="B680" t="e">
        <f>INDEX(resultados!$A$2:$ZZ$956, 674, MATCH($B$2, resultados!$A$1:$ZZ$1, 0))</f>
        <v>#N/A</v>
      </c>
      <c r="C680" t="e">
        <f>INDEX(resultados!$A$2:$ZZ$956, 674, MATCH($B$3, resultados!$A$1:$ZZ$1, 0))</f>
        <v>#N/A</v>
      </c>
    </row>
    <row r="681" spans="1:3" x14ac:dyDescent="0.3">
      <c r="A681" t="e">
        <f>INDEX(resultados!$A$2:$ZZ$956, 675, MATCH($B$1, resultados!$A$1:$ZZ$1, 0))</f>
        <v>#N/A</v>
      </c>
      <c r="B681" t="e">
        <f>INDEX(resultados!$A$2:$ZZ$956, 675, MATCH($B$2, resultados!$A$1:$ZZ$1, 0))</f>
        <v>#N/A</v>
      </c>
      <c r="C681" t="e">
        <f>INDEX(resultados!$A$2:$ZZ$956, 675, MATCH($B$3, resultados!$A$1:$ZZ$1, 0))</f>
        <v>#N/A</v>
      </c>
    </row>
    <row r="682" spans="1:3" x14ac:dyDescent="0.3">
      <c r="A682" t="e">
        <f>INDEX(resultados!$A$2:$ZZ$956, 676, MATCH($B$1, resultados!$A$1:$ZZ$1, 0))</f>
        <v>#N/A</v>
      </c>
      <c r="B682" t="e">
        <f>INDEX(resultados!$A$2:$ZZ$956, 676, MATCH($B$2, resultados!$A$1:$ZZ$1, 0))</f>
        <v>#N/A</v>
      </c>
      <c r="C682" t="e">
        <f>INDEX(resultados!$A$2:$ZZ$956, 676, MATCH($B$3, resultados!$A$1:$ZZ$1, 0))</f>
        <v>#N/A</v>
      </c>
    </row>
    <row r="683" spans="1:3" x14ac:dyDescent="0.3">
      <c r="A683" t="e">
        <f>INDEX(resultados!$A$2:$ZZ$956, 677, MATCH($B$1, resultados!$A$1:$ZZ$1, 0))</f>
        <v>#N/A</v>
      </c>
      <c r="B683" t="e">
        <f>INDEX(resultados!$A$2:$ZZ$956, 677, MATCH($B$2, resultados!$A$1:$ZZ$1, 0))</f>
        <v>#N/A</v>
      </c>
      <c r="C683" t="e">
        <f>INDEX(resultados!$A$2:$ZZ$956, 677, MATCH($B$3, resultados!$A$1:$ZZ$1, 0))</f>
        <v>#N/A</v>
      </c>
    </row>
    <row r="684" spans="1:3" x14ac:dyDescent="0.3">
      <c r="A684" t="e">
        <f>INDEX(resultados!$A$2:$ZZ$956, 678, MATCH($B$1, resultados!$A$1:$ZZ$1, 0))</f>
        <v>#N/A</v>
      </c>
      <c r="B684" t="e">
        <f>INDEX(resultados!$A$2:$ZZ$956, 678, MATCH($B$2, resultados!$A$1:$ZZ$1, 0))</f>
        <v>#N/A</v>
      </c>
      <c r="C684" t="e">
        <f>INDEX(resultados!$A$2:$ZZ$956, 678, MATCH($B$3, resultados!$A$1:$ZZ$1, 0))</f>
        <v>#N/A</v>
      </c>
    </row>
    <row r="685" spans="1:3" x14ac:dyDescent="0.3">
      <c r="A685" t="e">
        <f>INDEX(resultados!$A$2:$ZZ$956, 679, MATCH($B$1, resultados!$A$1:$ZZ$1, 0))</f>
        <v>#N/A</v>
      </c>
      <c r="B685" t="e">
        <f>INDEX(resultados!$A$2:$ZZ$956, 679, MATCH($B$2, resultados!$A$1:$ZZ$1, 0))</f>
        <v>#N/A</v>
      </c>
      <c r="C685" t="e">
        <f>INDEX(resultados!$A$2:$ZZ$956, 679, MATCH($B$3, resultados!$A$1:$ZZ$1, 0))</f>
        <v>#N/A</v>
      </c>
    </row>
    <row r="686" spans="1:3" x14ac:dyDescent="0.3">
      <c r="A686" t="e">
        <f>INDEX(resultados!$A$2:$ZZ$956, 680, MATCH($B$1, resultados!$A$1:$ZZ$1, 0))</f>
        <v>#N/A</v>
      </c>
      <c r="B686" t="e">
        <f>INDEX(resultados!$A$2:$ZZ$956, 680, MATCH($B$2, resultados!$A$1:$ZZ$1, 0))</f>
        <v>#N/A</v>
      </c>
      <c r="C686" t="e">
        <f>INDEX(resultados!$A$2:$ZZ$956, 680, MATCH($B$3, resultados!$A$1:$ZZ$1, 0))</f>
        <v>#N/A</v>
      </c>
    </row>
    <row r="687" spans="1:3" x14ac:dyDescent="0.3">
      <c r="A687" t="e">
        <f>INDEX(resultados!$A$2:$ZZ$956, 681, MATCH($B$1, resultados!$A$1:$ZZ$1, 0))</f>
        <v>#N/A</v>
      </c>
      <c r="B687" t="e">
        <f>INDEX(resultados!$A$2:$ZZ$956, 681, MATCH($B$2, resultados!$A$1:$ZZ$1, 0))</f>
        <v>#N/A</v>
      </c>
      <c r="C687" t="e">
        <f>INDEX(resultados!$A$2:$ZZ$956, 681, MATCH($B$3, resultados!$A$1:$ZZ$1, 0))</f>
        <v>#N/A</v>
      </c>
    </row>
    <row r="688" spans="1:3" x14ac:dyDescent="0.3">
      <c r="A688" t="e">
        <f>INDEX(resultados!$A$2:$ZZ$956, 682, MATCH($B$1, resultados!$A$1:$ZZ$1, 0))</f>
        <v>#N/A</v>
      </c>
      <c r="B688" t="e">
        <f>INDEX(resultados!$A$2:$ZZ$956, 682, MATCH($B$2, resultados!$A$1:$ZZ$1, 0))</f>
        <v>#N/A</v>
      </c>
      <c r="C688" t="e">
        <f>INDEX(resultados!$A$2:$ZZ$956, 682, MATCH($B$3, resultados!$A$1:$ZZ$1, 0))</f>
        <v>#N/A</v>
      </c>
    </row>
    <row r="689" spans="1:3" x14ac:dyDescent="0.3">
      <c r="A689" t="e">
        <f>INDEX(resultados!$A$2:$ZZ$956, 683, MATCH($B$1, resultados!$A$1:$ZZ$1, 0))</f>
        <v>#N/A</v>
      </c>
      <c r="B689" t="e">
        <f>INDEX(resultados!$A$2:$ZZ$956, 683, MATCH($B$2, resultados!$A$1:$ZZ$1, 0))</f>
        <v>#N/A</v>
      </c>
      <c r="C689" t="e">
        <f>INDEX(resultados!$A$2:$ZZ$956, 683, MATCH($B$3, resultados!$A$1:$ZZ$1, 0))</f>
        <v>#N/A</v>
      </c>
    </row>
    <row r="690" spans="1:3" x14ac:dyDescent="0.3">
      <c r="A690" t="e">
        <f>INDEX(resultados!$A$2:$ZZ$956, 684, MATCH($B$1, resultados!$A$1:$ZZ$1, 0))</f>
        <v>#N/A</v>
      </c>
      <c r="B690" t="e">
        <f>INDEX(resultados!$A$2:$ZZ$956, 684, MATCH($B$2, resultados!$A$1:$ZZ$1, 0))</f>
        <v>#N/A</v>
      </c>
      <c r="C690" t="e">
        <f>INDEX(resultados!$A$2:$ZZ$956, 684, MATCH($B$3, resultados!$A$1:$ZZ$1, 0))</f>
        <v>#N/A</v>
      </c>
    </row>
    <row r="691" spans="1:3" x14ac:dyDescent="0.3">
      <c r="A691" t="e">
        <f>INDEX(resultados!$A$2:$ZZ$956, 685, MATCH($B$1, resultados!$A$1:$ZZ$1, 0))</f>
        <v>#N/A</v>
      </c>
      <c r="B691" t="e">
        <f>INDEX(resultados!$A$2:$ZZ$956, 685, MATCH($B$2, resultados!$A$1:$ZZ$1, 0))</f>
        <v>#N/A</v>
      </c>
      <c r="C691" t="e">
        <f>INDEX(resultados!$A$2:$ZZ$956, 685, MATCH($B$3, resultados!$A$1:$ZZ$1, 0))</f>
        <v>#N/A</v>
      </c>
    </row>
    <row r="692" spans="1:3" x14ac:dyDescent="0.3">
      <c r="A692" t="e">
        <f>INDEX(resultados!$A$2:$ZZ$956, 686, MATCH($B$1, resultados!$A$1:$ZZ$1, 0))</f>
        <v>#N/A</v>
      </c>
      <c r="B692" t="e">
        <f>INDEX(resultados!$A$2:$ZZ$956, 686, MATCH($B$2, resultados!$A$1:$ZZ$1, 0))</f>
        <v>#N/A</v>
      </c>
      <c r="C692" t="e">
        <f>INDEX(resultados!$A$2:$ZZ$956, 686, MATCH($B$3, resultados!$A$1:$ZZ$1, 0))</f>
        <v>#N/A</v>
      </c>
    </row>
    <row r="693" spans="1:3" x14ac:dyDescent="0.3">
      <c r="A693" t="e">
        <f>INDEX(resultados!$A$2:$ZZ$956, 687, MATCH($B$1, resultados!$A$1:$ZZ$1, 0))</f>
        <v>#N/A</v>
      </c>
      <c r="B693" t="e">
        <f>INDEX(resultados!$A$2:$ZZ$956, 687, MATCH($B$2, resultados!$A$1:$ZZ$1, 0))</f>
        <v>#N/A</v>
      </c>
      <c r="C693" t="e">
        <f>INDEX(resultados!$A$2:$ZZ$956, 687, MATCH($B$3, resultados!$A$1:$ZZ$1, 0))</f>
        <v>#N/A</v>
      </c>
    </row>
    <row r="694" spans="1:3" x14ac:dyDescent="0.3">
      <c r="A694" t="e">
        <f>INDEX(resultados!$A$2:$ZZ$956, 688, MATCH($B$1, resultados!$A$1:$ZZ$1, 0))</f>
        <v>#N/A</v>
      </c>
      <c r="B694" t="e">
        <f>INDEX(resultados!$A$2:$ZZ$956, 688, MATCH($B$2, resultados!$A$1:$ZZ$1, 0))</f>
        <v>#N/A</v>
      </c>
      <c r="C694" t="e">
        <f>INDEX(resultados!$A$2:$ZZ$956, 688, MATCH($B$3, resultados!$A$1:$ZZ$1, 0))</f>
        <v>#N/A</v>
      </c>
    </row>
    <row r="695" spans="1:3" x14ac:dyDescent="0.3">
      <c r="A695" t="e">
        <f>INDEX(resultados!$A$2:$ZZ$956, 689, MATCH($B$1, resultados!$A$1:$ZZ$1, 0))</f>
        <v>#N/A</v>
      </c>
      <c r="B695" t="e">
        <f>INDEX(resultados!$A$2:$ZZ$956, 689, MATCH($B$2, resultados!$A$1:$ZZ$1, 0))</f>
        <v>#N/A</v>
      </c>
      <c r="C695" t="e">
        <f>INDEX(resultados!$A$2:$ZZ$956, 689, MATCH($B$3, resultados!$A$1:$ZZ$1, 0))</f>
        <v>#N/A</v>
      </c>
    </row>
    <row r="696" spans="1:3" x14ac:dyDescent="0.3">
      <c r="A696" t="e">
        <f>INDEX(resultados!$A$2:$ZZ$956, 690, MATCH($B$1, resultados!$A$1:$ZZ$1, 0))</f>
        <v>#N/A</v>
      </c>
      <c r="B696" t="e">
        <f>INDEX(resultados!$A$2:$ZZ$956, 690, MATCH($B$2, resultados!$A$1:$ZZ$1, 0))</f>
        <v>#N/A</v>
      </c>
      <c r="C696" t="e">
        <f>INDEX(resultados!$A$2:$ZZ$956, 690, MATCH($B$3, resultados!$A$1:$ZZ$1, 0))</f>
        <v>#N/A</v>
      </c>
    </row>
    <row r="697" spans="1:3" x14ac:dyDescent="0.3">
      <c r="A697" t="e">
        <f>INDEX(resultados!$A$2:$ZZ$956, 691, MATCH($B$1, resultados!$A$1:$ZZ$1, 0))</f>
        <v>#N/A</v>
      </c>
      <c r="B697" t="e">
        <f>INDEX(resultados!$A$2:$ZZ$956, 691, MATCH($B$2, resultados!$A$1:$ZZ$1, 0))</f>
        <v>#N/A</v>
      </c>
      <c r="C697" t="e">
        <f>INDEX(resultados!$A$2:$ZZ$956, 691, MATCH($B$3, resultados!$A$1:$ZZ$1, 0))</f>
        <v>#N/A</v>
      </c>
    </row>
    <row r="698" spans="1:3" x14ac:dyDescent="0.3">
      <c r="A698" t="e">
        <f>INDEX(resultados!$A$2:$ZZ$956, 692, MATCH($B$1, resultados!$A$1:$ZZ$1, 0))</f>
        <v>#N/A</v>
      </c>
      <c r="B698" t="e">
        <f>INDEX(resultados!$A$2:$ZZ$956, 692, MATCH($B$2, resultados!$A$1:$ZZ$1, 0))</f>
        <v>#N/A</v>
      </c>
      <c r="C698" t="e">
        <f>INDEX(resultados!$A$2:$ZZ$956, 692, MATCH($B$3, resultados!$A$1:$ZZ$1, 0))</f>
        <v>#N/A</v>
      </c>
    </row>
    <row r="699" spans="1:3" x14ac:dyDescent="0.3">
      <c r="A699" t="e">
        <f>INDEX(resultados!$A$2:$ZZ$956, 693, MATCH($B$1, resultados!$A$1:$ZZ$1, 0))</f>
        <v>#N/A</v>
      </c>
      <c r="B699" t="e">
        <f>INDEX(resultados!$A$2:$ZZ$956, 693, MATCH($B$2, resultados!$A$1:$ZZ$1, 0))</f>
        <v>#N/A</v>
      </c>
      <c r="C699" t="e">
        <f>INDEX(resultados!$A$2:$ZZ$956, 693, MATCH($B$3, resultados!$A$1:$ZZ$1, 0))</f>
        <v>#N/A</v>
      </c>
    </row>
    <row r="700" spans="1:3" x14ac:dyDescent="0.3">
      <c r="A700" t="e">
        <f>INDEX(resultados!$A$2:$ZZ$956, 694, MATCH($B$1, resultados!$A$1:$ZZ$1, 0))</f>
        <v>#N/A</v>
      </c>
      <c r="B700" t="e">
        <f>INDEX(resultados!$A$2:$ZZ$956, 694, MATCH($B$2, resultados!$A$1:$ZZ$1, 0))</f>
        <v>#N/A</v>
      </c>
      <c r="C700" t="e">
        <f>INDEX(resultados!$A$2:$ZZ$956, 694, MATCH($B$3, resultados!$A$1:$ZZ$1, 0))</f>
        <v>#N/A</v>
      </c>
    </row>
    <row r="701" spans="1:3" x14ac:dyDescent="0.3">
      <c r="A701" t="e">
        <f>INDEX(resultados!$A$2:$ZZ$956, 695, MATCH($B$1, resultados!$A$1:$ZZ$1, 0))</f>
        <v>#N/A</v>
      </c>
      <c r="B701" t="e">
        <f>INDEX(resultados!$A$2:$ZZ$956, 695, MATCH($B$2, resultados!$A$1:$ZZ$1, 0))</f>
        <v>#N/A</v>
      </c>
      <c r="C701" t="e">
        <f>INDEX(resultados!$A$2:$ZZ$956, 695, MATCH($B$3, resultados!$A$1:$ZZ$1, 0))</f>
        <v>#N/A</v>
      </c>
    </row>
    <row r="702" spans="1:3" x14ac:dyDescent="0.3">
      <c r="A702" t="e">
        <f>INDEX(resultados!$A$2:$ZZ$956, 696, MATCH($B$1, resultados!$A$1:$ZZ$1, 0))</f>
        <v>#N/A</v>
      </c>
      <c r="B702" t="e">
        <f>INDEX(resultados!$A$2:$ZZ$956, 696, MATCH($B$2, resultados!$A$1:$ZZ$1, 0))</f>
        <v>#N/A</v>
      </c>
      <c r="C702" t="e">
        <f>INDEX(resultados!$A$2:$ZZ$956, 696, MATCH($B$3, resultados!$A$1:$ZZ$1, 0))</f>
        <v>#N/A</v>
      </c>
    </row>
    <row r="703" spans="1:3" x14ac:dyDescent="0.3">
      <c r="A703" t="e">
        <f>INDEX(resultados!$A$2:$ZZ$956, 697, MATCH($B$1, resultados!$A$1:$ZZ$1, 0))</f>
        <v>#N/A</v>
      </c>
      <c r="B703" t="e">
        <f>INDEX(resultados!$A$2:$ZZ$956, 697, MATCH($B$2, resultados!$A$1:$ZZ$1, 0))</f>
        <v>#N/A</v>
      </c>
      <c r="C703" t="e">
        <f>INDEX(resultados!$A$2:$ZZ$956, 697, MATCH($B$3, resultados!$A$1:$ZZ$1, 0))</f>
        <v>#N/A</v>
      </c>
    </row>
    <row r="704" spans="1:3" x14ac:dyDescent="0.3">
      <c r="A704" t="e">
        <f>INDEX(resultados!$A$2:$ZZ$956, 698, MATCH($B$1, resultados!$A$1:$ZZ$1, 0))</f>
        <v>#N/A</v>
      </c>
      <c r="B704" t="e">
        <f>INDEX(resultados!$A$2:$ZZ$956, 698, MATCH($B$2, resultados!$A$1:$ZZ$1, 0))</f>
        <v>#N/A</v>
      </c>
      <c r="C704" t="e">
        <f>INDEX(resultados!$A$2:$ZZ$956, 698, MATCH($B$3, resultados!$A$1:$ZZ$1, 0))</f>
        <v>#N/A</v>
      </c>
    </row>
    <row r="705" spans="1:3" x14ac:dyDescent="0.3">
      <c r="A705" t="e">
        <f>INDEX(resultados!$A$2:$ZZ$956, 699, MATCH($B$1, resultados!$A$1:$ZZ$1, 0))</f>
        <v>#N/A</v>
      </c>
      <c r="B705" t="e">
        <f>INDEX(resultados!$A$2:$ZZ$956, 699, MATCH($B$2, resultados!$A$1:$ZZ$1, 0))</f>
        <v>#N/A</v>
      </c>
      <c r="C705" t="e">
        <f>INDEX(resultados!$A$2:$ZZ$956, 699, MATCH($B$3, resultados!$A$1:$ZZ$1, 0))</f>
        <v>#N/A</v>
      </c>
    </row>
    <row r="706" spans="1:3" x14ac:dyDescent="0.3">
      <c r="A706" t="e">
        <f>INDEX(resultados!$A$2:$ZZ$956, 700, MATCH($B$1, resultados!$A$1:$ZZ$1, 0))</f>
        <v>#N/A</v>
      </c>
      <c r="B706" t="e">
        <f>INDEX(resultados!$A$2:$ZZ$956, 700, MATCH($B$2, resultados!$A$1:$ZZ$1, 0))</f>
        <v>#N/A</v>
      </c>
      <c r="C706" t="e">
        <f>INDEX(resultados!$A$2:$ZZ$956, 700, MATCH($B$3, resultados!$A$1:$ZZ$1, 0))</f>
        <v>#N/A</v>
      </c>
    </row>
    <row r="707" spans="1:3" x14ac:dyDescent="0.3">
      <c r="A707" t="e">
        <f>INDEX(resultados!$A$2:$ZZ$956, 701, MATCH($B$1, resultados!$A$1:$ZZ$1, 0))</f>
        <v>#N/A</v>
      </c>
      <c r="B707" t="e">
        <f>INDEX(resultados!$A$2:$ZZ$956, 701, MATCH($B$2, resultados!$A$1:$ZZ$1, 0))</f>
        <v>#N/A</v>
      </c>
      <c r="C707" t="e">
        <f>INDEX(resultados!$A$2:$ZZ$956, 701, MATCH($B$3, resultados!$A$1:$ZZ$1, 0))</f>
        <v>#N/A</v>
      </c>
    </row>
    <row r="708" spans="1:3" x14ac:dyDescent="0.3">
      <c r="A708" t="e">
        <f>INDEX(resultados!$A$2:$ZZ$956, 702, MATCH($B$1, resultados!$A$1:$ZZ$1, 0))</f>
        <v>#N/A</v>
      </c>
      <c r="B708" t="e">
        <f>INDEX(resultados!$A$2:$ZZ$956, 702, MATCH($B$2, resultados!$A$1:$ZZ$1, 0))</f>
        <v>#N/A</v>
      </c>
      <c r="C708" t="e">
        <f>INDEX(resultados!$A$2:$ZZ$956, 702, MATCH($B$3, resultados!$A$1:$ZZ$1, 0))</f>
        <v>#N/A</v>
      </c>
    </row>
    <row r="709" spans="1:3" x14ac:dyDescent="0.3">
      <c r="A709" t="e">
        <f>INDEX(resultados!$A$2:$ZZ$956, 703, MATCH($B$1, resultados!$A$1:$ZZ$1, 0))</f>
        <v>#N/A</v>
      </c>
      <c r="B709" t="e">
        <f>INDEX(resultados!$A$2:$ZZ$956, 703, MATCH($B$2, resultados!$A$1:$ZZ$1, 0))</f>
        <v>#N/A</v>
      </c>
      <c r="C709" t="e">
        <f>INDEX(resultados!$A$2:$ZZ$956, 703, MATCH($B$3, resultados!$A$1:$ZZ$1, 0))</f>
        <v>#N/A</v>
      </c>
    </row>
    <row r="710" spans="1:3" x14ac:dyDescent="0.3">
      <c r="A710" t="e">
        <f>INDEX(resultados!$A$2:$ZZ$956, 704, MATCH($B$1, resultados!$A$1:$ZZ$1, 0))</f>
        <v>#N/A</v>
      </c>
      <c r="B710" t="e">
        <f>INDEX(resultados!$A$2:$ZZ$956, 704, MATCH($B$2, resultados!$A$1:$ZZ$1, 0))</f>
        <v>#N/A</v>
      </c>
      <c r="C710" t="e">
        <f>INDEX(resultados!$A$2:$ZZ$956, 704, MATCH($B$3, resultados!$A$1:$ZZ$1, 0))</f>
        <v>#N/A</v>
      </c>
    </row>
    <row r="711" spans="1:3" x14ac:dyDescent="0.3">
      <c r="A711" t="e">
        <f>INDEX(resultados!$A$2:$ZZ$956, 705, MATCH($B$1, resultados!$A$1:$ZZ$1, 0))</f>
        <v>#N/A</v>
      </c>
      <c r="B711" t="e">
        <f>INDEX(resultados!$A$2:$ZZ$956, 705, MATCH($B$2, resultados!$A$1:$ZZ$1, 0))</f>
        <v>#N/A</v>
      </c>
      <c r="C711" t="e">
        <f>INDEX(resultados!$A$2:$ZZ$956, 705, MATCH($B$3, resultados!$A$1:$ZZ$1, 0))</f>
        <v>#N/A</v>
      </c>
    </row>
    <row r="712" spans="1:3" x14ac:dyDescent="0.3">
      <c r="A712" t="e">
        <f>INDEX(resultados!$A$2:$ZZ$956, 706, MATCH($B$1, resultados!$A$1:$ZZ$1, 0))</f>
        <v>#N/A</v>
      </c>
      <c r="B712" t="e">
        <f>INDEX(resultados!$A$2:$ZZ$956, 706, MATCH($B$2, resultados!$A$1:$ZZ$1, 0))</f>
        <v>#N/A</v>
      </c>
      <c r="C712" t="e">
        <f>INDEX(resultados!$A$2:$ZZ$956, 706, MATCH($B$3, resultados!$A$1:$ZZ$1, 0))</f>
        <v>#N/A</v>
      </c>
    </row>
    <row r="713" spans="1:3" x14ac:dyDescent="0.3">
      <c r="A713" t="e">
        <f>INDEX(resultados!$A$2:$ZZ$956, 707, MATCH($B$1, resultados!$A$1:$ZZ$1, 0))</f>
        <v>#N/A</v>
      </c>
      <c r="B713" t="e">
        <f>INDEX(resultados!$A$2:$ZZ$956, 707, MATCH($B$2, resultados!$A$1:$ZZ$1, 0))</f>
        <v>#N/A</v>
      </c>
      <c r="C713" t="e">
        <f>INDEX(resultados!$A$2:$ZZ$956, 707, MATCH($B$3, resultados!$A$1:$ZZ$1, 0))</f>
        <v>#N/A</v>
      </c>
    </row>
    <row r="714" spans="1:3" x14ac:dyDescent="0.3">
      <c r="A714" t="e">
        <f>INDEX(resultados!$A$2:$ZZ$956, 708, MATCH($B$1, resultados!$A$1:$ZZ$1, 0))</f>
        <v>#N/A</v>
      </c>
      <c r="B714" t="e">
        <f>INDEX(resultados!$A$2:$ZZ$956, 708, MATCH($B$2, resultados!$A$1:$ZZ$1, 0))</f>
        <v>#N/A</v>
      </c>
      <c r="C714" t="e">
        <f>INDEX(resultados!$A$2:$ZZ$956, 708, MATCH($B$3, resultados!$A$1:$ZZ$1, 0))</f>
        <v>#N/A</v>
      </c>
    </row>
    <row r="715" spans="1:3" x14ac:dyDescent="0.3">
      <c r="A715" t="e">
        <f>INDEX(resultados!$A$2:$ZZ$956, 709, MATCH($B$1, resultados!$A$1:$ZZ$1, 0))</f>
        <v>#N/A</v>
      </c>
      <c r="B715" t="e">
        <f>INDEX(resultados!$A$2:$ZZ$956, 709, MATCH($B$2, resultados!$A$1:$ZZ$1, 0))</f>
        <v>#N/A</v>
      </c>
      <c r="C715" t="e">
        <f>INDEX(resultados!$A$2:$ZZ$956, 709, MATCH($B$3, resultados!$A$1:$ZZ$1, 0))</f>
        <v>#N/A</v>
      </c>
    </row>
    <row r="716" spans="1:3" x14ac:dyDescent="0.3">
      <c r="A716" t="e">
        <f>INDEX(resultados!$A$2:$ZZ$956, 710, MATCH($B$1, resultados!$A$1:$ZZ$1, 0))</f>
        <v>#N/A</v>
      </c>
      <c r="B716" t="e">
        <f>INDEX(resultados!$A$2:$ZZ$956, 710, MATCH($B$2, resultados!$A$1:$ZZ$1, 0))</f>
        <v>#N/A</v>
      </c>
      <c r="C716" t="e">
        <f>INDEX(resultados!$A$2:$ZZ$956, 710, MATCH($B$3, resultados!$A$1:$ZZ$1, 0))</f>
        <v>#N/A</v>
      </c>
    </row>
    <row r="717" spans="1:3" x14ac:dyDescent="0.3">
      <c r="A717" t="e">
        <f>INDEX(resultados!$A$2:$ZZ$956, 711, MATCH($B$1, resultados!$A$1:$ZZ$1, 0))</f>
        <v>#N/A</v>
      </c>
      <c r="B717" t="e">
        <f>INDEX(resultados!$A$2:$ZZ$956, 711, MATCH($B$2, resultados!$A$1:$ZZ$1, 0))</f>
        <v>#N/A</v>
      </c>
      <c r="C717" t="e">
        <f>INDEX(resultados!$A$2:$ZZ$956, 711, MATCH($B$3, resultados!$A$1:$ZZ$1, 0))</f>
        <v>#N/A</v>
      </c>
    </row>
    <row r="718" spans="1:3" x14ac:dyDescent="0.3">
      <c r="A718" t="e">
        <f>INDEX(resultados!$A$2:$ZZ$956, 712, MATCH($B$1, resultados!$A$1:$ZZ$1, 0))</f>
        <v>#N/A</v>
      </c>
      <c r="B718" t="e">
        <f>INDEX(resultados!$A$2:$ZZ$956, 712, MATCH($B$2, resultados!$A$1:$ZZ$1, 0))</f>
        <v>#N/A</v>
      </c>
      <c r="C718" t="e">
        <f>INDEX(resultados!$A$2:$ZZ$956, 712, MATCH($B$3, resultados!$A$1:$ZZ$1, 0))</f>
        <v>#N/A</v>
      </c>
    </row>
    <row r="719" spans="1:3" x14ac:dyDescent="0.3">
      <c r="A719" t="e">
        <f>INDEX(resultados!$A$2:$ZZ$956, 713, MATCH($B$1, resultados!$A$1:$ZZ$1, 0))</f>
        <v>#N/A</v>
      </c>
      <c r="B719" t="e">
        <f>INDEX(resultados!$A$2:$ZZ$956, 713, MATCH($B$2, resultados!$A$1:$ZZ$1, 0))</f>
        <v>#N/A</v>
      </c>
      <c r="C719" t="e">
        <f>INDEX(resultados!$A$2:$ZZ$956, 713, MATCH($B$3, resultados!$A$1:$ZZ$1, 0))</f>
        <v>#N/A</v>
      </c>
    </row>
    <row r="720" spans="1:3" x14ac:dyDescent="0.3">
      <c r="A720" t="e">
        <f>INDEX(resultados!$A$2:$ZZ$956, 714, MATCH($B$1, resultados!$A$1:$ZZ$1, 0))</f>
        <v>#N/A</v>
      </c>
      <c r="B720" t="e">
        <f>INDEX(resultados!$A$2:$ZZ$956, 714, MATCH($B$2, resultados!$A$1:$ZZ$1, 0))</f>
        <v>#N/A</v>
      </c>
      <c r="C720" t="e">
        <f>INDEX(resultados!$A$2:$ZZ$956, 714, MATCH($B$3, resultados!$A$1:$ZZ$1, 0))</f>
        <v>#N/A</v>
      </c>
    </row>
    <row r="721" spans="1:3" x14ac:dyDescent="0.3">
      <c r="A721" t="e">
        <f>INDEX(resultados!$A$2:$ZZ$956, 715, MATCH($B$1, resultados!$A$1:$ZZ$1, 0))</f>
        <v>#N/A</v>
      </c>
      <c r="B721" t="e">
        <f>INDEX(resultados!$A$2:$ZZ$956, 715, MATCH($B$2, resultados!$A$1:$ZZ$1, 0))</f>
        <v>#N/A</v>
      </c>
      <c r="C721" t="e">
        <f>INDEX(resultados!$A$2:$ZZ$956, 715, MATCH($B$3, resultados!$A$1:$ZZ$1, 0))</f>
        <v>#N/A</v>
      </c>
    </row>
    <row r="722" spans="1:3" x14ac:dyDescent="0.3">
      <c r="A722" t="e">
        <f>INDEX(resultados!$A$2:$ZZ$956, 716, MATCH($B$1, resultados!$A$1:$ZZ$1, 0))</f>
        <v>#N/A</v>
      </c>
      <c r="B722" t="e">
        <f>INDEX(resultados!$A$2:$ZZ$956, 716, MATCH($B$2, resultados!$A$1:$ZZ$1, 0))</f>
        <v>#N/A</v>
      </c>
      <c r="C722" t="e">
        <f>INDEX(resultados!$A$2:$ZZ$956, 716, MATCH($B$3, resultados!$A$1:$ZZ$1, 0))</f>
        <v>#N/A</v>
      </c>
    </row>
    <row r="723" spans="1:3" x14ac:dyDescent="0.3">
      <c r="A723" t="e">
        <f>INDEX(resultados!$A$2:$ZZ$956, 717, MATCH($B$1, resultados!$A$1:$ZZ$1, 0))</f>
        <v>#N/A</v>
      </c>
      <c r="B723" t="e">
        <f>INDEX(resultados!$A$2:$ZZ$956, 717, MATCH($B$2, resultados!$A$1:$ZZ$1, 0))</f>
        <v>#N/A</v>
      </c>
      <c r="C723" t="e">
        <f>INDEX(resultados!$A$2:$ZZ$956, 717, MATCH($B$3, resultados!$A$1:$ZZ$1, 0))</f>
        <v>#N/A</v>
      </c>
    </row>
    <row r="724" spans="1:3" x14ac:dyDescent="0.3">
      <c r="A724" t="e">
        <f>INDEX(resultados!$A$2:$ZZ$956, 718, MATCH($B$1, resultados!$A$1:$ZZ$1, 0))</f>
        <v>#N/A</v>
      </c>
      <c r="B724" t="e">
        <f>INDEX(resultados!$A$2:$ZZ$956, 718, MATCH($B$2, resultados!$A$1:$ZZ$1, 0))</f>
        <v>#N/A</v>
      </c>
      <c r="C724" t="e">
        <f>INDEX(resultados!$A$2:$ZZ$956, 718, MATCH($B$3, resultados!$A$1:$ZZ$1, 0))</f>
        <v>#N/A</v>
      </c>
    </row>
    <row r="725" spans="1:3" x14ac:dyDescent="0.3">
      <c r="A725" t="e">
        <f>INDEX(resultados!$A$2:$ZZ$956, 719, MATCH($B$1, resultados!$A$1:$ZZ$1, 0))</f>
        <v>#N/A</v>
      </c>
      <c r="B725" t="e">
        <f>INDEX(resultados!$A$2:$ZZ$956, 719, MATCH($B$2, resultados!$A$1:$ZZ$1, 0))</f>
        <v>#N/A</v>
      </c>
      <c r="C725" t="e">
        <f>INDEX(resultados!$A$2:$ZZ$956, 719, MATCH($B$3, resultados!$A$1:$ZZ$1, 0))</f>
        <v>#N/A</v>
      </c>
    </row>
    <row r="726" spans="1:3" x14ac:dyDescent="0.3">
      <c r="A726" t="e">
        <f>INDEX(resultados!$A$2:$ZZ$956, 720, MATCH($B$1, resultados!$A$1:$ZZ$1, 0))</f>
        <v>#N/A</v>
      </c>
      <c r="B726" t="e">
        <f>INDEX(resultados!$A$2:$ZZ$956, 720, MATCH($B$2, resultados!$A$1:$ZZ$1, 0))</f>
        <v>#N/A</v>
      </c>
      <c r="C726" t="e">
        <f>INDEX(resultados!$A$2:$ZZ$956, 720, MATCH($B$3, resultados!$A$1:$ZZ$1, 0))</f>
        <v>#N/A</v>
      </c>
    </row>
    <row r="727" spans="1:3" x14ac:dyDescent="0.3">
      <c r="A727" t="e">
        <f>INDEX(resultados!$A$2:$ZZ$956, 721, MATCH($B$1, resultados!$A$1:$ZZ$1, 0))</f>
        <v>#N/A</v>
      </c>
      <c r="B727" t="e">
        <f>INDEX(resultados!$A$2:$ZZ$956, 721, MATCH($B$2, resultados!$A$1:$ZZ$1, 0))</f>
        <v>#N/A</v>
      </c>
      <c r="C727" t="e">
        <f>INDEX(resultados!$A$2:$ZZ$956, 721, MATCH($B$3, resultados!$A$1:$ZZ$1, 0))</f>
        <v>#N/A</v>
      </c>
    </row>
    <row r="728" spans="1:3" x14ac:dyDescent="0.3">
      <c r="A728" t="e">
        <f>INDEX(resultados!$A$2:$ZZ$956, 722, MATCH($B$1, resultados!$A$1:$ZZ$1, 0))</f>
        <v>#N/A</v>
      </c>
      <c r="B728" t="e">
        <f>INDEX(resultados!$A$2:$ZZ$956, 722, MATCH($B$2, resultados!$A$1:$ZZ$1, 0))</f>
        <v>#N/A</v>
      </c>
      <c r="C728" t="e">
        <f>INDEX(resultados!$A$2:$ZZ$956, 722, MATCH($B$3, resultados!$A$1:$ZZ$1, 0))</f>
        <v>#N/A</v>
      </c>
    </row>
    <row r="729" spans="1:3" x14ac:dyDescent="0.3">
      <c r="A729" t="e">
        <f>INDEX(resultados!$A$2:$ZZ$956, 723, MATCH($B$1, resultados!$A$1:$ZZ$1, 0))</f>
        <v>#N/A</v>
      </c>
      <c r="B729" t="e">
        <f>INDEX(resultados!$A$2:$ZZ$956, 723, MATCH($B$2, resultados!$A$1:$ZZ$1, 0))</f>
        <v>#N/A</v>
      </c>
      <c r="C729" t="e">
        <f>INDEX(resultados!$A$2:$ZZ$956, 723, MATCH($B$3, resultados!$A$1:$ZZ$1, 0))</f>
        <v>#N/A</v>
      </c>
    </row>
    <row r="730" spans="1:3" x14ac:dyDescent="0.3">
      <c r="A730" t="e">
        <f>INDEX(resultados!$A$2:$ZZ$956, 724, MATCH($B$1, resultados!$A$1:$ZZ$1, 0))</f>
        <v>#N/A</v>
      </c>
      <c r="B730" t="e">
        <f>INDEX(resultados!$A$2:$ZZ$956, 724, MATCH($B$2, resultados!$A$1:$ZZ$1, 0))</f>
        <v>#N/A</v>
      </c>
      <c r="C730" t="e">
        <f>INDEX(resultados!$A$2:$ZZ$956, 724, MATCH($B$3, resultados!$A$1:$ZZ$1, 0))</f>
        <v>#N/A</v>
      </c>
    </row>
    <row r="731" spans="1:3" x14ac:dyDescent="0.3">
      <c r="A731" t="e">
        <f>INDEX(resultados!$A$2:$ZZ$956, 725, MATCH($B$1, resultados!$A$1:$ZZ$1, 0))</f>
        <v>#N/A</v>
      </c>
      <c r="B731" t="e">
        <f>INDEX(resultados!$A$2:$ZZ$956, 725, MATCH($B$2, resultados!$A$1:$ZZ$1, 0))</f>
        <v>#N/A</v>
      </c>
      <c r="C731" t="e">
        <f>INDEX(resultados!$A$2:$ZZ$956, 725, MATCH($B$3, resultados!$A$1:$ZZ$1, 0))</f>
        <v>#N/A</v>
      </c>
    </row>
    <row r="732" spans="1:3" x14ac:dyDescent="0.3">
      <c r="A732" t="e">
        <f>INDEX(resultados!$A$2:$ZZ$956, 726, MATCH($B$1, resultados!$A$1:$ZZ$1, 0))</f>
        <v>#N/A</v>
      </c>
      <c r="B732" t="e">
        <f>INDEX(resultados!$A$2:$ZZ$956, 726, MATCH($B$2, resultados!$A$1:$ZZ$1, 0))</f>
        <v>#N/A</v>
      </c>
      <c r="C732" t="e">
        <f>INDEX(resultados!$A$2:$ZZ$956, 726, MATCH($B$3, resultados!$A$1:$ZZ$1, 0))</f>
        <v>#N/A</v>
      </c>
    </row>
    <row r="733" spans="1:3" x14ac:dyDescent="0.3">
      <c r="A733" t="e">
        <f>INDEX(resultados!$A$2:$ZZ$956, 727, MATCH($B$1, resultados!$A$1:$ZZ$1, 0))</f>
        <v>#N/A</v>
      </c>
      <c r="B733" t="e">
        <f>INDEX(resultados!$A$2:$ZZ$956, 727, MATCH($B$2, resultados!$A$1:$ZZ$1, 0))</f>
        <v>#N/A</v>
      </c>
      <c r="C733" t="e">
        <f>INDEX(resultados!$A$2:$ZZ$956, 727, MATCH($B$3, resultados!$A$1:$ZZ$1, 0))</f>
        <v>#N/A</v>
      </c>
    </row>
    <row r="734" spans="1:3" x14ac:dyDescent="0.3">
      <c r="A734" t="e">
        <f>INDEX(resultados!$A$2:$ZZ$956, 728, MATCH($B$1, resultados!$A$1:$ZZ$1, 0))</f>
        <v>#N/A</v>
      </c>
      <c r="B734" t="e">
        <f>INDEX(resultados!$A$2:$ZZ$956, 728, MATCH($B$2, resultados!$A$1:$ZZ$1, 0))</f>
        <v>#N/A</v>
      </c>
      <c r="C734" t="e">
        <f>INDEX(resultados!$A$2:$ZZ$956, 728, MATCH($B$3, resultados!$A$1:$ZZ$1, 0))</f>
        <v>#N/A</v>
      </c>
    </row>
    <row r="735" spans="1:3" x14ac:dyDescent="0.3">
      <c r="A735" t="e">
        <f>INDEX(resultados!$A$2:$ZZ$956, 729, MATCH($B$1, resultados!$A$1:$ZZ$1, 0))</f>
        <v>#N/A</v>
      </c>
      <c r="B735" t="e">
        <f>INDEX(resultados!$A$2:$ZZ$956, 729, MATCH($B$2, resultados!$A$1:$ZZ$1, 0))</f>
        <v>#N/A</v>
      </c>
      <c r="C735" t="e">
        <f>INDEX(resultados!$A$2:$ZZ$956, 729, MATCH($B$3, resultados!$A$1:$ZZ$1, 0))</f>
        <v>#N/A</v>
      </c>
    </row>
    <row r="736" spans="1:3" x14ac:dyDescent="0.3">
      <c r="A736" t="e">
        <f>INDEX(resultados!$A$2:$ZZ$956, 730, MATCH($B$1, resultados!$A$1:$ZZ$1, 0))</f>
        <v>#N/A</v>
      </c>
      <c r="B736" t="e">
        <f>INDEX(resultados!$A$2:$ZZ$956, 730, MATCH($B$2, resultados!$A$1:$ZZ$1, 0))</f>
        <v>#N/A</v>
      </c>
      <c r="C736" t="e">
        <f>INDEX(resultados!$A$2:$ZZ$956, 730, MATCH($B$3, resultados!$A$1:$ZZ$1, 0))</f>
        <v>#N/A</v>
      </c>
    </row>
    <row r="737" spans="1:3" x14ac:dyDescent="0.3">
      <c r="A737" t="e">
        <f>INDEX(resultados!$A$2:$ZZ$956, 731, MATCH($B$1, resultados!$A$1:$ZZ$1, 0))</f>
        <v>#N/A</v>
      </c>
      <c r="B737" t="e">
        <f>INDEX(resultados!$A$2:$ZZ$956, 731, MATCH($B$2, resultados!$A$1:$ZZ$1, 0))</f>
        <v>#N/A</v>
      </c>
      <c r="C737" t="e">
        <f>INDEX(resultados!$A$2:$ZZ$956, 731, MATCH($B$3, resultados!$A$1:$ZZ$1, 0))</f>
        <v>#N/A</v>
      </c>
    </row>
    <row r="738" spans="1:3" x14ac:dyDescent="0.3">
      <c r="A738" t="e">
        <f>INDEX(resultados!$A$2:$ZZ$956, 732, MATCH($B$1, resultados!$A$1:$ZZ$1, 0))</f>
        <v>#N/A</v>
      </c>
      <c r="B738" t="e">
        <f>INDEX(resultados!$A$2:$ZZ$956, 732, MATCH($B$2, resultados!$A$1:$ZZ$1, 0))</f>
        <v>#N/A</v>
      </c>
      <c r="C738" t="e">
        <f>INDEX(resultados!$A$2:$ZZ$956, 732, MATCH($B$3, resultados!$A$1:$ZZ$1, 0))</f>
        <v>#N/A</v>
      </c>
    </row>
    <row r="739" spans="1:3" x14ac:dyDescent="0.3">
      <c r="A739" t="e">
        <f>INDEX(resultados!$A$2:$ZZ$956, 733, MATCH($B$1, resultados!$A$1:$ZZ$1, 0))</f>
        <v>#N/A</v>
      </c>
      <c r="B739" t="e">
        <f>INDEX(resultados!$A$2:$ZZ$956, 733, MATCH($B$2, resultados!$A$1:$ZZ$1, 0))</f>
        <v>#N/A</v>
      </c>
      <c r="C739" t="e">
        <f>INDEX(resultados!$A$2:$ZZ$956, 733, MATCH($B$3, resultados!$A$1:$ZZ$1, 0))</f>
        <v>#N/A</v>
      </c>
    </row>
    <row r="740" spans="1:3" x14ac:dyDescent="0.3">
      <c r="A740" t="e">
        <f>INDEX(resultados!$A$2:$ZZ$956, 734, MATCH($B$1, resultados!$A$1:$ZZ$1, 0))</f>
        <v>#N/A</v>
      </c>
      <c r="B740" t="e">
        <f>INDEX(resultados!$A$2:$ZZ$956, 734, MATCH($B$2, resultados!$A$1:$ZZ$1, 0))</f>
        <v>#N/A</v>
      </c>
      <c r="C740" t="e">
        <f>INDEX(resultados!$A$2:$ZZ$956, 734, MATCH($B$3, resultados!$A$1:$ZZ$1, 0))</f>
        <v>#N/A</v>
      </c>
    </row>
    <row r="741" spans="1:3" x14ac:dyDescent="0.3">
      <c r="A741" t="e">
        <f>INDEX(resultados!$A$2:$ZZ$956, 735, MATCH($B$1, resultados!$A$1:$ZZ$1, 0))</f>
        <v>#N/A</v>
      </c>
      <c r="B741" t="e">
        <f>INDEX(resultados!$A$2:$ZZ$956, 735, MATCH($B$2, resultados!$A$1:$ZZ$1, 0))</f>
        <v>#N/A</v>
      </c>
      <c r="C741" t="e">
        <f>INDEX(resultados!$A$2:$ZZ$956, 735, MATCH($B$3, resultados!$A$1:$ZZ$1, 0))</f>
        <v>#N/A</v>
      </c>
    </row>
    <row r="742" spans="1:3" x14ac:dyDescent="0.3">
      <c r="A742" t="e">
        <f>INDEX(resultados!$A$2:$ZZ$956, 736, MATCH($B$1, resultados!$A$1:$ZZ$1, 0))</f>
        <v>#N/A</v>
      </c>
      <c r="B742" t="e">
        <f>INDEX(resultados!$A$2:$ZZ$956, 736, MATCH($B$2, resultados!$A$1:$ZZ$1, 0))</f>
        <v>#N/A</v>
      </c>
      <c r="C742" t="e">
        <f>INDEX(resultados!$A$2:$ZZ$956, 736, MATCH($B$3, resultados!$A$1:$ZZ$1, 0))</f>
        <v>#N/A</v>
      </c>
    </row>
    <row r="743" spans="1:3" x14ac:dyDescent="0.3">
      <c r="A743" t="e">
        <f>INDEX(resultados!$A$2:$ZZ$956, 737, MATCH($B$1, resultados!$A$1:$ZZ$1, 0))</f>
        <v>#N/A</v>
      </c>
      <c r="B743" t="e">
        <f>INDEX(resultados!$A$2:$ZZ$956, 737, MATCH($B$2, resultados!$A$1:$ZZ$1, 0))</f>
        <v>#N/A</v>
      </c>
      <c r="C743" t="e">
        <f>INDEX(resultados!$A$2:$ZZ$956, 737, MATCH($B$3, resultados!$A$1:$ZZ$1, 0))</f>
        <v>#N/A</v>
      </c>
    </row>
    <row r="744" spans="1:3" x14ac:dyDescent="0.3">
      <c r="A744" t="e">
        <f>INDEX(resultados!$A$2:$ZZ$956, 738, MATCH($B$1, resultados!$A$1:$ZZ$1, 0))</f>
        <v>#N/A</v>
      </c>
      <c r="B744" t="e">
        <f>INDEX(resultados!$A$2:$ZZ$956, 738, MATCH($B$2, resultados!$A$1:$ZZ$1, 0))</f>
        <v>#N/A</v>
      </c>
      <c r="C744" t="e">
        <f>INDEX(resultados!$A$2:$ZZ$956, 738, MATCH($B$3, resultados!$A$1:$ZZ$1, 0))</f>
        <v>#N/A</v>
      </c>
    </row>
    <row r="745" spans="1:3" x14ac:dyDescent="0.3">
      <c r="A745" t="e">
        <f>INDEX(resultados!$A$2:$ZZ$956, 739, MATCH($B$1, resultados!$A$1:$ZZ$1, 0))</f>
        <v>#N/A</v>
      </c>
      <c r="B745" t="e">
        <f>INDEX(resultados!$A$2:$ZZ$956, 739, MATCH($B$2, resultados!$A$1:$ZZ$1, 0))</f>
        <v>#N/A</v>
      </c>
      <c r="C745" t="e">
        <f>INDEX(resultados!$A$2:$ZZ$956, 739, MATCH($B$3, resultados!$A$1:$ZZ$1, 0))</f>
        <v>#N/A</v>
      </c>
    </row>
    <row r="746" spans="1:3" x14ac:dyDescent="0.3">
      <c r="A746" t="e">
        <f>INDEX(resultados!$A$2:$ZZ$956, 740, MATCH($B$1, resultados!$A$1:$ZZ$1, 0))</f>
        <v>#N/A</v>
      </c>
      <c r="B746" t="e">
        <f>INDEX(resultados!$A$2:$ZZ$956, 740, MATCH($B$2, resultados!$A$1:$ZZ$1, 0))</f>
        <v>#N/A</v>
      </c>
      <c r="C746" t="e">
        <f>INDEX(resultados!$A$2:$ZZ$956, 740, MATCH($B$3, resultados!$A$1:$ZZ$1, 0))</f>
        <v>#N/A</v>
      </c>
    </row>
    <row r="747" spans="1:3" x14ac:dyDescent="0.3">
      <c r="A747" t="e">
        <f>INDEX(resultados!$A$2:$ZZ$956, 741, MATCH($B$1, resultados!$A$1:$ZZ$1, 0))</f>
        <v>#N/A</v>
      </c>
      <c r="B747" t="e">
        <f>INDEX(resultados!$A$2:$ZZ$956, 741, MATCH($B$2, resultados!$A$1:$ZZ$1, 0))</f>
        <v>#N/A</v>
      </c>
      <c r="C747" t="e">
        <f>INDEX(resultados!$A$2:$ZZ$956, 741, MATCH($B$3, resultados!$A$1:$ZZ$1, 0))</f>
        <v>#N/A</v>
      </c>
    </row>
    <row r="748" spans="1:3" x14ac:dyDescent="0.3">
      <c r="A748" t="e">
        <f>INDEX(resultados!$A$2:$ZZ$956, 742, MATCH($B$1, resultados!$A$1:$ZZ$1, 0))</f>
        <v>#N/A</v>
      </c>
      <c r="B748" t="e">
        <f>INDEX(resultados!$A$2:$ZZ$956, 742, MATCH($B$2, resultados!$A$1:$ZZ$1, 0))</f>
        <v>#N/A</v>
      </c>
      <c r="C748" t="e">
        <f>INDEX(resultados!$A$2:$ZZ$956, 742, MATCH($B$3, resultados!$A$1:$ZZ$1, 0))</f>
        <v>#N/A</v>
      </c>
    </row>
    <row r="749" spans="1:3" x14ac:dyDescent="0.3">
      <c r="A749" t="e">
        <f>INDEX(resultados!$A$2:$ZZ$956, 743, MATCH($B$1, resultados!$A$1:$ZZ$1, 0))</f>
        <v>#N/A</v>
      </c>
      <c r="B749" t="e">
        <f>INDEX(resultados!$A$2:$ZZ$956, 743, MATCH($B$2, resultados!$A$1:$ZZ$1, 0))</f>
        <v>#N/A</v>
      </c>
      <c r="C749" t="e">
        <f>INDEX(resultados!$A$2:$ZZ$956, 743, MATCH($B$3, resultados!$A$1:$ZZ$1, 0))</f>
        <v>#N/A</v>
      </c>
    </row>
    <row r="750" spans="1:3" x14ac:dyDescent="0.3">
      <c r="A750" t="e">
        <f>INDEX(resultados!$A$2:$ZZ$956, 744, MATCH($B$1, resultados!$A$1:$ZZ$1, 0))</f>
        <v>#N/A</v>
      </c>
      <c r="B750" t="e">
        <f>INDEX(resultados!$A$2:$ZZ$956, 744, MATCH($B$2, resultados!$A$1:$ZZ$1, 0))</f>
        <v>#N/A</v>
      </c>
      <c r="C750" t="e">
        <f>INDEX(resultados!$A$2:$ZZ$956, 744, MATCH($B$3, resultados!$A$1:$ZZ$1, 0))</f>
        <v>#N/A</v>
      </c>
    </row>
    <row r="751" spans="1:3" x14ac:dyDescent="0.3">
      <c r="A751" t="e">
        <f>INDEX(resultados!$A$2:$ZZ$956, 745, MATCH($B$1, resultados!$A$1:$ZZ$1, 0))</f>
        <v>#N/A</v>
      </c>
      <c r="B751" t="e">
        <f>INDEX(resultados!$A$2:$ZZ$956, 745, MATCH($B$2, resultados!$A$1:$ZZ$1, 0))</f>
        <v>#N/A</v>
      </c>
      <c r="C751" t="e">
        <f>INDEX(resultados!$A$2:$ZZ$956, 745, MATCH($B$3, resultados!$A$1:$ZZ$1, 0))</f>
        <v>#N/A</v>
      </c>
    </row>
    <row r="752" spans="1:3" x14ac:dyDescent="0.3">
      <c r="A752" t="e">
        <f>INDEX(resultados!$A$2:$ZZ$956, 746, MATCH($B$1, resultados!$A$1:$ZZ$1, 0))</f>
        <v>#N/A</v>
      </c>
      <c r="B752" t="e">
        <f>INDEX(resultados!$A$2:$ZZ$956, 746, MATCH($B$2, resultados!$A$1:$ZZ$1, 0))</f>
        <v>#N/A</v>
      </c>
      <c r="C752" t="e">
        <f>INDEX(resultados!$A$2:$ZZ$956, 746, MATCH($B$3, resultados!$A$1:$ZZ$1, 0))</f>
        <v>#N/A</v>
      </c>
    </row>
    <row r="753" spans="1:3" x14ac:dyDescent="0.3">
      <c r="A753" t="e">
        <f>INDEX(resultados!$A$2:$ZZ$956, 747, MATCH($B$1, resultados!$A$1:$ZZ$1, 0))</f>
        <v>#N/A</v>
      </c>
      <c r="B753" t="e">
        <f>INDEX(resultados!$A$2:$ZZ$956, 747, MATCH($B$2, resultados!$A$1:$ZZ$1, 0))</f>
        <v>#N/A</v>
      </c>
      <c r="C753" t="e">
        <f>INDEX(resultados!$A$2:$ZZ$956, 747, MATCH($B$3, resultados!$A$1:$ZZ$1, 0))</f>
        <v>#N/A</v>
      </c>
    </row>
    <row r="754" spans="1:3" x14ac:dyDescent="0.3">
      <c r="A754" t="e">
        <f>INDEX(resultados!$A$2:$ZZ$956, 748, MATCH($B$1, resultados!$A$1:$ZZ$1, 0))</f>
        <v>#N/A</v>
      </c>
      <c r="B754" t="e">
        <f>INDEX(resultados!$A$2:$ZZ$956, 748, MATCH($B$2, resultados!$A$1:$ZZ$1, 0))</f>
        <v>#N/A</v>
      </c>
      <c r="C754" t="e">
        <f>INDEX(resultados!$A$2:$ZZ$956, 748, MATCH($B$3, resultados!$A$1:$ZZ$1, 0))</f>
        <v>#N/A</v>
      </c>
    </row>
    <row r="755" spans="1:3" x14ac:dyDescent="0.3">
      <c r="A755" t="e">
        <f>INDEX(resultados!$A$2:$ZZ$956, 749, MATCH($B$1, resultados!$A$1:$ZZ$1, 0))</f>
        <v>#N/A</v>
      </c>
      <c r="B755" t="e">
        <f>INDEX(resultados!$A$2:$ZZ$956, 749, MATCH($B$2, resultados!$A$1:$ZZ$1, 0))</f>
        <v>#N/A</v>
      </c>
      <c r="C755" t="e">
        <f>INDEX(resultados!$A$2:$ZZ$956, 749, MATCH($B$3, resultados!$A$1:$ZZ$1, 0))</f>
        <v>#N/A</v>
      </c>
    </row>
    <row r="756" spans="1:3" x14ac:dyDescent="0.3">
      <c r="A756" t="e">
        <f>INDEX(resultados!$A$2:$ZZ$956, 750, MATCH($B$1, resultados!$A$1:$ZZ$1, 0))</f>
        <v>#N/A</v>
      </c>
      <c r="B756" t="e">
        <f>INDEX(resultados!$A$2:$ZZ$956, 750, MATCH($B$2, resultados!$A$1:$ZZ$1, 0))</f>
        <v>#N/A</v>
      </c>
      <c r="C756" t="e">
        <f>INDEX(resultados!$A$2:$ZZ$956, 750, MATCH($B$3, resultados!$A$1:$ZZ$1, 0))</f>
        <v>#N/A</v>
      </c>
    </row>
    <row r="757" spans="1:3" x14ac:dyDescent="0.3">
      <c r="A757" t="e">
        <f>INDEX(resultados!$A$2:$ZZ$956, 751, MATCH($B$1, resultados!$A$1:$ZZ$1, 0))</f>
        <v>#N/A</v>
      </c>
      <c r="B757" t="e">
        <f>INDEX(resultados!$A$2:$ZZ$956, 751, MATCH($B$2, resultados!$A$1:$ZZ$1, 0))</f>
        <v>#N/A</v>
      </c>
      <c r="C757" t="e">
        <f>INDEX(resultados!$A$2:$ZZ$956, 751, MATCH($B$3, resultados!$A$1:$ZZ$1, 0))</f>
        <v>#N/A</v>
      </c>
    </row>
    <row r="758" spans="1:3" x14ac:dyDescent="0.3">
      <c r="A758" t="e">
        <f>INDEX(resultados!$A$2:$ZZ$956, 752, MATCH($B$1, resultados!$A$1:$ZZ$1, 0))</f>
        <v>#N/A</v>
      </c>
      <c r="B758" t="e">
        <f>INDEX(resultados!$A$2:$ZZ$956, 752, MATCH($B$2, resultados!$A$1:$ZZ$1, 0))</f>
        <v>#N/A</v>
      </c>
      <c r="C758" t="e">
        <f>INDEX(resultados!$A$2:$ZZ$956, 752, MATCH($B$3, resultados!$A$1:$ZZ$1, 0))</f>
        <v>#N/A</v>
      </c>
    </row>
    <row r="759" spans="1:3" x14ac:dyDescent="0.3">
      <c r="A759" t="e">
        <f>INDEX(resultados!$A$2:$ZZ$956, 753, MATCH($B$1, resultados!$A$1:$ZZ$1, 0))</f>
        <v>#N/A</v>
      </c>
      <c r="B759" t="e">
        <f>INDEX(resultados!$A$2:$ZZ$956, 753, MATCH($B$2, resultados!$A$1:$ZZ$1, 0))</f>
        <v>#N/A</v>
      </c>
      <c r="C759" t="e">
        <f>INDEX(resultados!$A$2:$ZZ$956, 753, MATCH($B$3, resultados!$A$1:$ZZ$1, 0))</f>
        <v>#N/A</v>
      </c>
    </row>
    <row r="760" spans="1:3" x14ac:dyDescent="0.3">
      <c r="A760" t="e">
        <f>INDEX(resultados!$A$2:$ZZ$956, 754, MATCH($B$1, resultados!$A$1:$ZZ$1, 0))</f>
        <v>#N/A</v>
      </c>
      <c r="B760" t="e">
        <f>INDEX(resultados!$A$2:$ZZ$956, 754, MATCH($B$2, resultados!$A$1:$ZZ$1, 0))</f>
        <v>#N/A</v>
      </c>
      <c r="C760" t="e">
        <f>INDEX(resultados!$A$2:$ZZ$956, 754, MATCH($B$3, resultados!$A$1:$ZZ$1, 0))</f>
        <v>#N/A</v>
      </c>
    </row>
    <row r="761" spans="1:3" x14ac:dyDescent="0.3">
      <c r="A761" t="e">
        <f>INDEX(resultados!$A$2:$ZZ$956, 755, MATCH($B$1, resultados!$A$1:$ZZ$1, 0))</f>
        <v>#N/A</v>
      </c>
      <c r="B761" t="e">
        <f>INDEX(resultados!$A$2:$ZZ$956, 755, MATCH($B$2, resultados!$A$1:$ZZ$1, 0))</f>
        <v>#N/A</v>
      </c>
      <c r="C761" t="e">
        <f>INDEX(resultados!$A$2:$ZZ$956, 755, MATCH($B$3, resultados!$A$1:$ZZ$1, 0))</f>
        <v>#N/A</v>
      </c>
    </row>
    <row r="762" spans="1:3" x14ac:dyDescent="0.3">
      <c r="A762" t="e">
        <f>INDEX(resultados!$A$2:$ZZ$956, 756, MATCH($B$1, resultados!$A$1:$ZZ$1, 0))</f>
        <v>#N/A</v>
      </c>
      <c r="B762" t="e">
        <f>INDEX(resultados!$A$2:$ZZ$956, 756, MATCH($B$2, resultados!$A$1:$ZZ$1, 0))</f>
        <v>#N/A</v>
      </c>
      <c r="C762" t="e">
        <f>INDEX(resultados!$A$2:$ZZ$956, 756, MATCH($B$3, resultados!$A$1:$ZZ$1, 0))</f>
        <v>#N/A</v>
      </c>
    </row>
    <row r="763" spans="1:3" x14ac:dyDescent="0.3">
      <c r="A763" t="e">
        <f>INDEX(resultados!$A$2:$ZZ$956, 757, MATCH($B$1, resultados!$A$1:$ZZ$1, 0))</f>
        <v>#N/A</v>
      </c>
      <c r="B763" t="e">
        <f>INDEX(resultados!$A$2:$ZZ$956, 757, MATCH($B$2, resultados!$A$1:$ZZ$1, 0))</f>
        <v>#N/A</v>
      </c>
      <c r="C763" t="e">
        <f>INDEX(resultados!$A$2:$ZZ$956, 757, MATCH($B$3, resultados!$A$1:$ZZ$1, 0))</f>
        <v>#N/A</v>
      </c>
    </row>
    <row r="764" spans="1:3" x14ac:dyDescent="0.3">
      <c r="A764" t="e">
        <f>INDEX(resultados!$A$2:$ZZ$956, 758, MATCH($B$1, resultados!$A$1:$ZZ$1, 0))</f>
        <v>#N/A</v>
      </c>
      <c r="B764" t="e">
        <f>INDEX(resultados!$A$2:$ZZ$956, 758, MATCH($B$2, resultados!$A$1:$ZZ$1, 0))</f>
        <v>#N/A</v>
      </c>
      <c r="C764" t="e">
        <f>INDEX(resultados!$A$2:$ZZ$956, 758, MATCH($B$3, resultados!$A$1:$ZZ$1, 0))</f>
        <v>#N/A</v>
      </c>
    </row>
    <row r="765" spans="1:3" x14ac:dyDescent="0.3">
      <c r="A765" t="e">
        <f>INDEX(resultados!$A$2:$ZZ$956, 759, MATCH($B$1, resultados!$A$1:$ZZ$1, 0))</f>
        <v>#N/A</v>
      </c>
      <c r="B765" t="e">
        <f>INDEX(resultados!$A$2:$ZZ$956, 759, MATCH($B$2, resultados!$A$1:$ZZ$1, 0))</f>
        <v>#N/A</v>
      </c>
      <c r="C765" t="e">
        <f>INDEX(resultados!$A$2:$ZZ$956, 759, MATCH($B$3, resultados!$A$1:$ZZ$1, 0))</f>
        <v>#N/A</v>
      </c>
    </row>
    <row r="766" spans="1:3" x14ac:dyDescent="0.3">
      <c r="A766" t="e">
        <f>INDEX(resultados!$A$2:$ZZ$956, 760, MATCH($B$1, resultados!$A$1:$ZZ$1, 0))</f>
        <v>#N/A</v>
      </c>
      <c r="B766" t="e">
        <f>INDEX(resultados!$A$2:$ZZ$956, 760, MATCH($B$2, resultados!$A$1:$ZZ$1, 0))</f>
        <v>#N/A</v>
      </c>
      <c r="C766" t="e">
        <f>INDEX(resultados!$A$2:$ZZ$956, 760, MATCH($B$3, resultados!$A$1:$ZZ$1, 0))</f>
        <v>#N/A</v>
      </c>
    </row>
    <row r="767" spans="1:3" x14ac:dyDescent="0.3">
      <c r="A767" t="e">
        <f>INDEX(resultados!$A$2:$ZZ$956, 761, MATCH($B$1, resultados!$A$1:$ZZ$1, 0))</f>
        <v>#N/A</v>
      </c>
      <c r="B767" t="e">
        <f>INDEX(resultados!$A$2:$ZZ$956, 761, MATCH($B$2, resultados!$A$1:$ZZ$1, 0))</f>
        <v>#N/A</v>
      </c>
      <c r="C767" t="e">
        <f>INDEX(resultados!$A$2:$ZZ$956, 761, MATCH($B$3, resultados!$A$1:$ZZ$1, 0))</f>
        <v>#N/A</v>
      </c>
    </row>
    <row r="768" spans="1:3" x14ac:dyDescent="0.3">
      <c r="A768" t="e">
        <f>INDEX(resultados!$A$2:$ZZ$956, 762, MATCH($B$1, resultados!$A$1:$ZZ$1, 0))</f>
        <v>#N/A</v>
      </c>
      <c r="B768" t="e">
        <f>INDEX(resultados!$A$2:$ZZ$956, 762, MATCH($B$2, resultados!$A$1:$ZZ$1, 0))</f>
        <v>#N/A</v>
      </c>
      <c r="C768" t="e">
        <f>INDEX(resultados!$A$2:$ZZ$956, 762, MATCH($B$3, resultados!$A$1:$ZZ$1, 0))</f>
        <v>#N/A</v>
      </c>
    </row>
    <row r="769" spans="1:3" x14ac:dyDescent="0.3">
      <c r="A769" t="e">
        <f>INDEX(resultados!$A$2:$ZZ$956, 763, MATCH($B$1, resultados!$A$1:$ZZ$1, 0))</f>
        <v>#N/A</v>
      </c>
      <c r="B769" t="e">
        <f>INDEX(resultados!$A$2:$ZZ$956, 763, MATCH($B$2, resultados!$A$1:$ZZ$1, 0))</f>
        <v>#N/A</v>
      </c>
      <c r="C769" t="e">
        <f>INDEX(resultados!$A$2:$ZZ$956, 763, MATCH($B$3, resultados!$A$1:$ZZ$1, 0))</f>
        <v>#N/A</v>
      </c>
    </row>
    <row r="770" spans="1:3" x14ac:dyDescent="0.3">
      <c r="A770" t="e">
        <f>INDEX(resultados!$A$2:$ZZ$956, 764, MATCH($B$1, resultados!$A$1:$ZZ$1, 0))</f>
        <v>#N/A</v>
      </c>
      <c r="B770" t="e">
        <f>INDEX(resultados!$A$2:$ZZ$956, 764, MATCH($B$2, resultados!$A$1:$ZZ$1, 0))</f>
        <v>#N/A</v>
      </c>
      <c r="C770" t="e">
        <f>INDEX(resultados!$A$2:$ZZ$956, 764, MATCH($B$3, resultados!$A$1:$ZZ$1, 0))</f>
        <v>#N/A</v>
      </c>
    </row>
    <row r="771" spans="1:3" x14ac:dyDescent="0.3">
      <c r="A771" t="e">
        <f>INDEX(resultados!$A$2:$ZZ$956, 765, MATCH($B$1, resultados!$A$1:$ZZ$1, 0))</f>
        <v>#N/A</v>
      </c>
      <c r="B771" t="e">
        <f>INDEX(resultados!$A$2:$ZZ$956, 765, MATCH($B$2, resultados!$A$1:$ZZ$1, 0))</f>
        <v>#N/A</v>
      </c>
      <c r="C771" t="e">
        <f>INDEX(resultados!$A$2:$ZZ$956, 765, MATCH($B$3, resultados!$A$1:$ZZ$1, 0))</f>
        <v>#N/A</v>
      </c>
    </row>
    <row r="772" spans="1:3" x14ac:dyDescent="0.3">
      <c r="A772" t="e">
        <f>INDEX(resultados!$A$2:$ZZ$956, 766, MATCH($B$1, resultados!$A$1:$ZZ$1, 0))</f>
        <v>#N/A</v>
      </c>
      <c r="B772" t="e">
        <f>INDEX(resultados!$A$2:$ZZ$956, 766, MATCH($B$2, resultados!$A$1:$ZZ$1, 0))</f>
        <v>#N/A</v>
      </c>
      <c r="C772" t="e">
        <f>INDEX(resultados!$A$2:$ZZ$956, 766, MATCH($B$3, resultados!$A$1:$ZZ$1, 0))</f>
        <v>#N/A</v>
      </c>
    </row>
    <row r="773" spans="1:3" x14ac:dyDescent="0.3">
      <c r="A773" t="e">
        <f>INDEX(resultados!$A$2:$ZZ$956, 767, MATCH($B$1, resultados!$A$1:$ZZ$1, 0))</f>
        <v>#N/A</v>
      </c>
      <c r="B773" t="e">
        <f>INDEX(resultados!$A$2:$ZZ$956, 767, MATCH($B$2, resultados!$A$1:$ZZ$1, 0))</f>
        <v>#N/A</v>
      </c>
      <c r="C773" t="e">
        <f>INDEX(resultados!$A$2:$ZZ$956, 767, MATCH($B$3, resultados!$A$1:$ZZ$1, 0))</f>
        <v>#N/A</v>
      </c>
    </row>
    <row r="774" spans="1:3" x14ac:dyDescent="0.3">
      <c r="A774" t="e">
        <f>INDEX(resultados!$A$2:$ZZ$956, 768, MATCH($B$1, resultados!$A$1:$ZZ$1, 0))</f>
        <v>#N/A</v>
      </c>
      <c r="B774" t="e">
        <f>INDEX(resultados!$A$2:$ZZ$956, 768, MATCH($B$2, resultados!$A$1:$ZZ$1, 0))</f>
        <v>#N/A</v>
      </c>
      <c r="C774" t="e">
        <f>INDEX(resultados!$A$2:$ZZ$956, 768, MATCH($B$3, resultados!$A$1:$ZZ$1, 0))</f>
        <v>#N/A</v>
      </c>
    </row>
    <row r="775" spans="1:3" x14ac:dyDescent="0.3">
      <c r="A775" t="e">
        <f>INDEX(resultados!$A$2:$ZZ$956, 769, MATCH($B$1, resultados!$A$1:$ZZ$1, 0))</f>
        <v>#N/A</v>
      </c>
      <c r="B775" t="e">
        <f>INDEX(resultados!$A$2:$ZZ$956, 769, MATCH($B$2, resultados!$A$1:$ZZ$1, 0))</f>
        <v>#N/A</v>
      </c>
      <c r="C775" t="e">
        <f>INDEX(resultados!$A$2:$ZZ$956, 769, MATCH($B$3, resultados!$A$1:$ZZ$1, 0))</f>
        <v>#N/A</v>
      </c>
    </row>
    <row r="776" spans="1:3" x14ac:dyDescent="0.3">
      <c r="A776" t="e">
        <f>INDEX(resultados!$A$2:$ZZ$956, 770, MATCH($B$1, resultados!$A$1:$ZZ$1, 0))</f>
        <v>#N/A</v>
      </c>
      <c r="B776" t="e">
        <f>INDEX(resultados!$A$2:$ZZ$956, 770, MATCH($B$2, resultados!$A$1:$ZZ$1, 0))</f>
        <v>#N/A</v>
      </c>
      <c r="C776" t="e">
        <f>INDEX(resultados!$A$2:$ZZ$956, 770, MATCH($B$3, resultados!$A$1:$ZZ$1, 0))</f>
        <v>#N/A</v>
      </c>
    </row>
    <row r="777" spans="1:3" x14ac:dyDescent="0.3">
      <c r="A777" t="e">
        <f>INDEX(resultados!$A$2:$ZZ$956, 771, MATCH($B$1, resultados!$A$1:$ZZ$1, 0))</f>
        <v>#N/A</v>
      </c>
      <c r="B777" t="e">
        <f>INDEX(resultados!$A$2:$ZZ$956, 771, MATCH($B$2, resultados!$A$1:$ZZ$1, 0))</f>
        <v>#N/A</v>
      </c>
      <c r="C777" t="e">
        <f>INDEX(resultados!$A$2:$ZZ$956, 771, MATCH($B$3, resultados!$A$1:$ZZ$1, 0))</f>
        <v>#N/A</v>
      </c>
    </row>
    <row r="778" spans="1:3" x14ac:dyDescent="0.3">
      <c r="A778" t="e">
        <f>INDEX(resultados!$A$2:$ZZ$956, 772, MATCH($B$1, resultados!$A$1:$ZZ$1, 0))</f>
        <v>#N/A</v>
      </c>
      <c r="B778" t="e">
        <f>INDEX(resultados!$A$2:$ZZ$956, 772, MATCH($B$2, resultados!$A$1:$ZZ$1, 0))</f>
        <v>#N/A</v>
      </c>
      <c r="C778" t="e">
        <f>INDEX(resultados!$A$2:$ZZ$956, 772, MATCH($B$3, resultados!$A$1:$ZZ$1, 0))</f>
        <v>#N/A</v>
      </c>
    </row>
    <row r="779" spans="1:3" x14ac:dyDescent="0.3">
      <c r="A779" t="e">
        <f>INDEX(resultados!$A$2:$ZZ$956, 773, MATCH($B$1, resultados!$A$1:$ZZ$1, 0))</f>
        <v>#N/A</v>
      </c>
      <c r="B779" t="e">
        <f>INDEX(resultados!$A$2:$ZZ$956, 773, MATCH($B$2, resultados!$A$1:$ZZ$1, 0))</f>
        <v>#N/A</v>
      </c>
      <c r="C779" t="e">
        <f>INDEX(resultados!$A$2:$ZZ$956, 773, MATCH($B$3, resultados!$A$1:$ZZ$1, 0))</f>
        <v>#N/A</v>
      </c>
    </row>
    <row r="780" spans="1:3" x14ac:dyDescent="0.3">
      <c r="A780" t="e">
        <f>INDEX(resultados!$A$2:$ZZ$956, 774, MATCH($B$1, resultados!$A$1:$ZZ$1, 0))</f>
        <v>#N/A</v>
      </c>
      <c r="B780" t="e">
        <f>INDEX(resultados!$A$2:$ZZ$956, 774, MATCH($B$2, resultados!$A$1:$ZZ$1, 0))</f>
        <v>#N/A</v>
      </c>
      <c r="C780" t="e">
        <f>INDEX(resultados!$A$2:$ZZ$956, 774, MATCH($B$3, resultados!$A$1:$ZZ$1, 0))</f>
        <v>#N/A</v>
      </c>
    </row>
    <row r="781" spans="1:3" x14ac:dyDescent="0.3">
      <c r="A781" t="e">
        <f>INDEX(resultados!$A$2:$ZZ$956, 775, MATCH($B$1, resultados!$A$1:$ZZ$1, 0))</f>
        <v>#N/A</v>
      </c>
      <c r="B781" t="e">
        <f>INDEX(resultados!$A$2:$ZZ$956, 775, MATCH($B$2, resultados!$A$1:$ZZ$1, 0))</f>
        <v>#N/A</v>
      </c>
      <c r="C781" t="e">
        <f>INDEX(resultados!$A$2:$ZZ$956, 775, MATCH($B$3, resultados!$A$1:$ZZ$1, 0))</f>
        <v>#N/A</v>
      </c>
    </row>
    <row r="782" spans="1:3" x14ac:dyDescent="0.3">
      <c r="A782" t="e">
        <f>INDEX(resultados!$A$2:$ZZ$956, 776, MATCH($B$1, resultados!$A$1:$ZZ$1, 0))</f>
        <v>#N/A</v>
      </c>
      <c r="B782" t="e">
        <f>INDEX(resultados!$A$2:$ZZ$956, 776, MATCH($B$2, resultados!$A$1:$ZZ$1, 0))</f>
        <v>#N/A</v>
      </c>
      <c r="C782" t="e">
        <f>INDEX(resultados!$A$2:$ZZ$956, 776, MATCH($B$3, resultados!$A$1:$ZZ$1, 0))</f>
        <v>#N/A</v>
      </c>
    </row>
    <row r="783" spans="1:3" x14ac:dyDescent="0.3">
      <c r="A783" t="e">
        <f>INDEX(resultados!$A$2:$ZZ$956, 777, MATCH($B$1, resultados!$A$1:$ZZ$1, 0))</f>
        <v>#N/A</v>
      </c>
      <c r="B783" t="e">
        <f>INDEX(resultados!$A$2:$ZZ$956, 777, MATCH($B$2, resultados!$A$1:$ZZ$1, 0))</f>
        <v>#N/A</v>
      </c>
      <c r="C783" t="e">
        <f>INDEX(resultados!$A$2:$ZZ$956, 777, MATCH($B$3, resultados!$A$1:$ZZ$1, 0))</f>
        <v>#N/A</v>
      </c>
    </row>
    <row r="784" spans="1:3" x14ac:dyDescent="0.3">
      <c r="A784" t="e">
        <f>INDEX(resultados!$A$2:$ZZ$956, 778, MATCH($B$1, resultados!$A$1:$ZZ$1, 0))</f>
        <v>#N/A</v>
      </c>
      <c r="B784" t="e">
        <f>INDEX(resultados!$A$2:$ZZ$956, 778, MATCH($B$2, resultados!$A$1:$ZZ$1, 0))</f>
        <v>#N/A</v>
      </c>
      <c r="C784" t="e">
        <f>INDEX(resultados!$A$2:$ZZ$956, 778, MATCH($B$3, resultados!$A$1:$ZZ$1, 0))</f>
        <v>#N/A</v>
      </c>
    </row>
    <row r="785" spans="1:3" x14ac:dyDescent="0.3">
      <c r="A785" t="e">
        <f>INDEX(resultados!$A$2:$ZZ$956, 779, MATCH($B$1, resultados!$A$1:$ZZ$1, 0))</f>
        <v>#N/A</v>
      </c>
      <c r="B785" t="e">
        <f>INDEX(resultados!$A$2:$ZZ$956, 779, MATCH($B$2, resultados!$A$1:$ZZ$1, 0))</f>
        <v>#N/A</v>
      </c>
      <c r="C785" t="e">
        <f>INDEX(resultados!$A$2:$ZZ$956, 779, MATCH($B$3, resultados!$A$1:$ZZ$1, 0))</f>
        <v>#N/A</v>
      </c>
    </row>
    <row r="786" spans="1:3" x14ac:dyDescent="0.3">
      <c r="A786" t="e">
        <f>INDEX(resultados!$A$2:$ZZ$956, 780, MATCH($B$1, resultados!$A$1:$ZZ$1, 0))</f>
        <v>#N/A</v>
      </c>
      <c r="B786" t="e">
        <f>INDEX(resultados!$A$2:$ZZ$956, 780, MATCH($B$2, resultados!$A$1:$ZZ$1, 0))</f>
        <v>#N/A</v>
      </c>
      <c r="C786" t="e">
        <f>INDEX(resultados!$A$2:$ZZ$956, 780, MATCH($B$3, resultados!$A$1:$ZZ$1, 0))</f>
        <v>#N/A</v>
      </c>
    </row>
    <row r="787" spans="1:3" x14ac:dyDescent="0.3">
      <c r="A787" t="e">
        <f>INDEX(resultados!$A$2:$ZZ$956, 781, MATCH($B$1, resultados!$A$1:$ZZ$1, 0))</f>
        <v>#N/A</v>
      </c>
      <c r="B787" t="e">
        <f>INDEX(resultados!$A$2:$ZZ$956, 781, MATCH($B$2, resultados!$A$1:$ZZ$1, 0))</f>
        <v>#N/A</v>
      </c>
      <c r="C787" t="e">
        <f>INDEX(resultados!$A$2:$ZZ$956, 781, MATCH($B$3, resultados!$A$1:$ZZ$1, 0))</f>
        <v>#N/A</v>
      </c>
    </row>
    <row r="788" spans="1:3" x14ac:dyDescent="0.3">
      <c r="A788" t="e">
        <f>INDEX(resultados!$A$2:$ZZ$956, 782, MATCH($B$1, resultados!$A$1:$ZZ$1, 0))</f>
        <v>#N/A</v>
      </c>
      <c r="B788" t="e">
        <f>INDEX(resultados!$A$2:$ZZ$956, 782, MATCH($B$2, resultados!$A$1:$ZZ$1, 0))</f>
        <v>#N/A</v>
      </c>
      <c r="C788" t="e">
        <f>INDEX(resultados!$A$2:$ZZ$956, 782, MATCH($B$3, resultados!$A$1:$ZZ$1, 0))</f>
        <v>#N/A</v>
      </c>
    </row>
    <row r="789" spans="1:3" x14ac:dyDescent="0.3">
      <c r="A789" t="e">
        <f>INDEX(resultados!$A$2:$ZZ$956, 783, MATCH($B$1, resultados!$A$1:$ZZ$1, 0))</f>
        <v>#N/A</v>
      </c>
      <c r="B789" t="e">
        <f>INDEX(resultados!$A$2:$ZZ$956, 783, MATCH($B$2, resultados!$A$1:$ZZ$1, 0))</f>
        <v>#N/A</v>
      </c>
      <c r="C789" t="e">
        <f>INDEX(resultados!$A$2:$ZZ$956, 783, MATCH($B$3, resultados!$A$1:$ZZ$1, 0))</f>
        <v>#N/A</v>
      </c>
    </row>
    <row r="790" spans="1:3" x14ac:dyDescent="0.3">
      <c r="A790" t="e">
        <f>INDEX(resultados!$A$2:$ZZ$956, 784, MATCH($B$1, resultados!$A$1:$ZZ$1, 0))</f>
        <v>#N/A</v>
      </c>
      <c r="B790" t="e">
        <f>INDEX(resultados!$A$2:$ZZ$956, 784, MATCH($B$2, resultados!$A$1:$ZZ$1, 0))</f>
        <v>#N/A</v>
      </c>
      <c r="C790" t="e">
        <f>INDEX(resultados!$A$2:$ZZ$956, 784, MATCH($B$3, resultados!$A$1:$ZZ$1, 0))</f>
        <v>#N/A</v>
      </c>
    </row>
    <row r="791" spans="1:3" x14ac:dyDescent="0.3">
      <c r="A791" t="e">
        <f>INDEX(resultados!$A$2:$ZZ$956, 785, MATCH($B$1, resultados!$A$1:$ZZ$1, 0))</f>
        <v>#N/A</v>
      </c>
      <c r="B791" t="e">
        <f>INDEX(resultados!$A$2:$ZZ$956, 785, MATCH($B$2, resultados!$A$1:$ZZ$1, 0))</f>
        <v>#N/A</v>
      </c>
      <c r="C791" t="e">
        <f>INDEX(resultados!$A$2:$ZZ$956, 785, MATCH($B$3, resultados!$A$1:$ZZ$1, 0))</f>
        <v>#N/A</v>
      </c>
    </row>
    <row r="792" spans="1:3" x14ac:dyDescent="0.3">
      <c r="A792" t="e">
        <f>INDEX(resultados!$A$2:$ZZ$956, 786, MATCH($B$1, resultados!$A$1:$ZZ$1, 0))</f>
        <v>#N/A</v>
      </c>
      <c r="B792" t="e">
        <f>INDEX(resultados!$A$2:$ZZ$956, 786, MATCH($B$2, resultados!$A$1:$ZZ$1, 0))</f>
        <v>#N/A</v>
      </c>
      <c r="C792" t="e">
        <f>INDEX(resultados!$A$2:$ZZ$956, 786, MATCH($B$3, resultados!$A$1:$ZZ$1, 0))</f>
        <v>#N/A</v>
      </c>
    </row>
    <row r="793" spans="1:3" x14ac:dyDescent="0.3">
      <c r="A793" t="e">
        <f>INDEX(resultados!$A$2:$ZZ$956, 787, MATCH($B$1, resultados!$A$1:$ZZ$1, 0))</f>
        <v>#N/A</v>
      </c>
      <c r="B793" t="e">
        <f>INDEX(resultados!$A$2:$ZZ$956, 787, MATCH($B$2, resultados!$A$1:$ZZ$1, 0))</f>
        <v>#N/A</v>
      </c>
      <c r="C793" t="e">
        <f>INDEX(resultados!$A$2:$ZZ$956, 787, MATCH($B$3, resultados!$A$1:$ZZ$1, 0))</f>
        <v>#N/A</v>
      </c>
    </row>
    <row r="794" spans="1:3" x14ac:dyDescent="0.3">
      <c r="A794" t="e">
        <f>INDEX(resultados!$A$2:$ZZ$956, 788, MATCH($B$1, resultados!$A$1:$ZZ$1, 0))</f>
        <v>#N/A</v>
      </c>
      <c r="B794" t="e">
        <f>INDEX(resultados!$A$2:$ZZ$956, 788, MATCH($B$2, resultados!$A$1:$ZZ$1, 0))</f>
        <v>#N/A</v>
      </c>
      <c r="C794" t="e">
        <f>INDEX(resultados!$A$2:$ZZ$956, 788, MATCH($B$3, resultados!$A$1:$ZZ$1, 0))</f>
        <v>#N/A</v>
      </c>
    </row>
    <row r="795" spans="1:3" x14ac:dyDescent="0.3">
      <c r="A795" t="e">
        <f>INDEX(resultados!$A$2:$ZZ$956, 789, MATCH($B$1, resultados!$A$1:$ZZ$1, 0))</f>
        <v>#N/A</v>
      </c>
      <c r="B795" t="e">
        <f>INDEX(resultados!$A$2:$ZZ$956, 789, MATCH($B$2, resultados!$A$1:$ZZ$1, 0))</f>
        <v>#N/A</v>
      </c>
      <c r="C795" t="e">
        <f>INDEX(resultados!$A$2:$ZZ$956, 789, MATCH($B$3, resultados!$A$1:$ZZ$1, 0))</f>
        <v>#N/A</v>
      </c>
    </row>
    <row r="796" spans="1:3" x14ac:dyDescent="0.3">
      <c r="A796" t="e">
        <f>INDEX(resultados!$A$2:$ZZ$956, 790, MATCH($B$1, resultados!$A$1:$ZZ$1, 0))</f>
        <v>#N/A</v>
      </c>
      <c r="B796" t="e">
        <f>INDEX(resultados!$A$2:$ZZ$956, 790, MATCH($B$2, resultados!$A$1:$ZZ$1, 0))</f>
        <v>#N/A</v>
      </c>
      <c r="C796" t="e">
        <f>INDEX(resultados!$A$2:$ZZ$956, 790, MATCH($B$3, resultados!$A$1:$ZZ$1, 0))</f>
        <v>#N/A</v>
      </c>
    </row>
    <row r="797" spans="1:3" x14ac:dyDescent="0.3">
      <c r="A797" t="e">
        <f>INDEX(resultados!$A$2:$ZZ$956, 791, MATCH($B$1, resultados!$A$1:$ZZ$1, 0))</f>
        <v>#N/A</v>
      </c>
      <c r="B797" t="e">
        <f>INDEX(resultados!$A$2:$ZZ$956, 791, MATCH($B$2, resultados!$A$1:$ZZ$1, 0))</f>
        <v>#N/A</v>
      </c>
      <c r="C797" t="e">
        <f>INDEX(resultados!$A$2:$ZZ$956, 791, MATCH($B$3, resultados!$A$1:$ZZ$1, 0))</f>
        <v>#N/A</v>
      </c>
    </row>
    <row r="798" spans="1:3" x14ac:dyDescent="0.3">
      <c r="A798" t="e">
        <f>INDEX(resultados!$A$2:$ZZ$956, 792, MATCH($B$1, resultados!$A$1:$ZZ$1, 0))</f>
        <v>#N/A</v>
      </c>
      <c r="B798" t="e">
        <f>INDEX(resultados!$A$2:$ZZ$956, 792, MATCH($B$2, resultados!$A$1:$ZZ$1, 0))</f>
        <v>#N/A</v>
      </c>
      <c r="C798" t="e">
        <f>INDEX(resultados!$A$2:$ZZ$956, 792, MATCH($B$3, resultados!$A$1:$ZZ$1, 0))</f>
        <v>#N/A</v>
      </c>
    </row>
    <row r="799" spans="1:3" x14ac:dyDescent="0.3">
      <c r="A799" t="e">
        <f>INDEX(resultados!$A$2:$ZZ$956, 793, MATCH($B$1, resultados!$A$1:$ZZ$1, 0))</f>
        <v>#N/A</v>
      </c>
      <c r="B799" t="e">
        <f>INDEX(resultados!$A$2:$ZZ$956, 793, MATCH($B$2, resultados!$A$1:$ZZ$1, 0))</f>
        <v>#N/A</v>
      </c>
      <c r="C799" t="e">
        <f>INDEX(resultados!$A$2:$ZZ$956, 793, MATCH($B$3, resultados!$A$1:$ZZ$1, 0))</f>
        <v>#N/A</v>
      </c>
    </row>
    <row r="800" spans="1:3" x14ac:dyDescent="0.3">
      <c r="A800" t="e">
        <f>INDEX(resultados!$A$2:$ZZ$956, 794, MATCH($B$1, resultados!$A$1:$ZZ$1, 0))</f>
        <v>#N/A</v>
      </c>
      <c r="B800" t="e">
        <f>INDEX(resultados!$A$2:$ZZ$956, 794, MATCH($B$2, resultados!$A$1:$ZZ$1, 0))</f>
        <v>#N/A</v>
      </c>
      <c r="C800" t="e">
        <f>INDEX(resultados!$A$2:$ZZ$956, 794, MATCH($B$3, resultados!$A$1:$ZZ$1, 0))</f>
        <v>#N/A</v>
      </c>
    </row>
    <row r="801" spans="1:3" x14ac:dyDescent="0.3">
      <c r="A801" t="e">
        <f>INDEX(resultados!$A$2:$ZZ$956, 795, MATCH($B$1, resultados!$A$1:$ZZ$1, 0))</f>
        <v>#N/A</v>
      </c>
      <c r="B801" t="e">
        <f>INDEX(resultados!$A$2:$ZZ$956, 795, MATCH($B$2, resultados!$A$1:$ZZ$1, 0))</f>
        <v>#N/A</v>
      </c>
      <c r="C801" t="e">
        <f>INDEX(resultados!$A$2:$ZZ$956, 795, MATCH($B$3, resultados!$A$1:$ZZ$1, 0))</f>
        <v>#N/A</v>
      </c>
    </row>
    <row r="802" spans="1:3" x14ac:dyDescent="0.3">
      <c r="A802" t="e">
        <f>INDEX(resultados!$A$2:$ZZ$956, 796, MATCH($B$1, resultados!$A$1:$ZZ$1, 0))</f>
        <v>#N/A</v>
      </c>
      <c r="B802" t="e">
        <f>INDEX(resultados!$A$2:$ZZ$956, 796, MATCH($B$2, resultados!$A$1:$ZZ$1, 0))</f>
        <v>#N/A</v>
      </c>
      <c r="C802" t="e">
        <f>INDEX(resultados!$A$2:$ZZ$956, 796, MATCH($B$3, resultados!$A$1:$ZZ$1, 0))</f>
        <v>#N/A</v>
      </c>
    </row>
    <row r="803" spans="1:3" x14ac:dyDescent="0.3">
      <c r="A803" t="e">
        <f>INDEX(resultados!$A$2:$ZZ$956, 797, MATCH($B$1, resultados!$A$1:$ZZ$1, 0))</f>
        <v>#N/A</v>
      </c>
      <c r="B803" t="e">
        <f>INDEX(resultados!$A$2:$ZZ$956, 797, MATCH($B$2, resultados!$A$1:$ZZ$1, 0))</f>
        <v>#N/A</v>
      </c>
      <c r="C803" t="e">
        <f>INDEX(resultados!$A$2:$ZZ$956, 797, MATCH($B$3, resultados!$A$1:$ZZ$1, 0))</f>
        <v>#N/A</v>
      </c>
    </row>
    <row r="804" spans="1:3" x14ac:dyDescent="0.3">
      <c r="A804" t="e">
        <f>INDEX(resultados!$A$2:$ZZ$956, 798, MATCH($B$1, resultados!$A$1:$ZZ$1, 0))</f>
        <v>#N/A</v>
      </c>
      <c r="B804" t="e">
        <f>INDEX(resultados!$A$2:$ZZ$956, 798, MATCH($B$2, resultados!$A$1:$ZZ$1, 0))</f>
        <v>#N/A</v>
      </c>
      <c r="C804" t="e">
        <f>INDEX(resultados!$A$2:$ZZ$956, 798, MATCH($B$3, resultados!$A$1:$ZZ$1, 0))</f>
        <v>#N/A</v>
      </c>
    </row>
    <row r="805" spans="1:3" x14ac:dyDescent="0.3">
      <c r="A805" t="e">
        <f>INDEX(resultados!$A$2:$ZZ$956, 799, MATCH($B$1, resultados!$A$1:$ZZ$1, 0))</f>
        <v>#N/A</v>
      </c>
      <c r="B805" t="e">
        <f>INDEX(resultados!$A$2:$ZZ$956, 799, MATCH($B$2, resultados!$A$1:$ZZ$1, 0))</f>
        <v>#N/A</v>
      </c>
      <c r="C805" t="e">
        <f>INDEX(resultados!$A$2:$ZZ$956, 799, MATCH($B$3, resultados!$A$1:$ZZ$1, 0))</f>
        <v>#N/A</v>
      </c>
    </row>
    <row r="806" spans="1:3" x14ac:dyDescent="0.3">
      <c r="A806" t="e">
        <f>INDEX(resultados!$A$2:$ZZ$956, 800, MATCH($B$1, resultados!$A$1:$ZZ$1, 0))</f>
        <v>#N/A</v>
      </c>
      <c r="B806" t="e">
        <f>INDEX(resultados!$A$2:$ZZ$956, 800, MATCH($B$2, resultados!$A$1:$ZZ$1, 0))</f>
        <v>#N/A</v>
      </c>
      <c r="C806" t="e">
        <f>INDEX(resultados!$A$2:$ZZ$956, 800, MATCH($B$3, resultados!$A$1:$ZZ$1, 0))</f>
        <v>#N/A</v>
      </c>
    </row>
    <row r="807" spans="1:3" x14ac:dyDescent="0.3">
      <c r="A807" t="e">
        <f>INDEX(resultados!$A$2:$ZZ$956, 801, MATCH($B$1, resultados!$A$1:$ZZ$1, 0))</f>
        <v>#N/A</v>
      </c>
      <c r="B807" t="e">
        <f>INDEX(resultados!$A$2:$ZZ$956, 801, MATCH($B$2, resultados!$A$1:$ZZ$1, 0))</f>
        <v>#N/A</v>
      </c>
      <c r="C807" t="e">
        <f>INDEX(resultados!$A$2:$ZZ$956, 801, MATCH($B$3, resultados!$A$1:$ZZ$1, 0))</f>
        <v>#N/A</v>
      </c>
    </row>
    <row r="808" spans="1:3" x14ac:dyDescent="0.3">
      <c r="A808" t="e">
        <f>INDEX(resultados!$A$2:$ZZ$956, 802, MATCH($B$1, resultados!$A$1:$ZZ$1, 0))</f>
        <v>#N/A</v>
      </c>
      <c r="B808" t="e">
        <f>INDEX(resultados!$A$2:$ZZ$956, 802, MATCH($B$2, resultados!$A$1:$ZZ$1, 0))</f>
        <v>#N/A</v>
      </c>
      <c r="C808" t="e">
        <f>INDEX(resultados!$A$2:$ZZ$956, 802, MATCH($B$3, resultados!$A$1:$ZZ$1, 0))</f>
        <v>#N/A</v>
      </c>
    </row>
    <row r="809" spans="1:3" x14ac:dyDescent="0.3">
      <c r="A809" t="e">
        <f>INDEX(resultados!$A$2:$ZZ$956, 803, MATCH($B$1, resultados!$A$1:$ZZ$1, 0))</f>
        <v>#N/A</v>
      </c>
      <c r="B809" t="e">
        <f>INDEX(resultados!$A$2:$ZZ$956, 803, MATCH($B$2, resultados!$A$1:$ZZ$1, 0))</f>
        <v>#N/A</v>
      </c>
      <c r="C809" t="e">
        <f>INDEX(resultados!$A$2:$ZZ$956, 803, MATCH($B$3, resultados!$A$1:$ZZ$1, 0))</f>
        <v>#N/A</v>
      </c>
    </row>
    <row r="810" spans="1:3" x14ac:dyDescent="0.3">
      <c r="A810" t="e">
        <f>INDEX(resultados!$A$2:$ZZ$956, 804, MATCH($B$1, resultados!$A$1:$ZZ$1, 0))</f>
        <v>#N/A</v>
      </c>
      <c r="B810" t="e">
        <f>INDEX(resultados!$A$2:$ZZ$956, 804, MATCH($B$2, resultados!$A$1:$ZZ$1, 0))</f>
        <v>#N/A</v>
      </c>
      <c r="C810" t="e">
        <f>INDEX(resultados!$A$2:$ZZ$956, 804, MATCH($B$3, resultados!$A$1:$ZZ$1, 0))</f>
        <v>#N/A</v>
      </c>
    </row>
    <row r="811" spans="1:3" x14ac:dyDescent="0.3">
      <c r="A811" t="e">
        <f>INDEX(resultados!$A$2:$ZZ$956, 805, MATCH($B$1, resultados!$A$1:$ZZ$1, 0))</f>
        <v>#N/A</v>
      </c>
      <c r="B811" t="e">
        <f>INDEX(resultados!$A$2:$ZZ$956, 805, MATCH($B$2, resultados!$A$1:$ZZ$1, 0))</f>
        <v>#N/A</v>
      </c>
      <c r="C811" t="e">
        <f>INDEX(resultados!$A$2:$ZZ$956, 805, MATCH($B$3, resultados!$A$1:$ZZ$1, 0))</f>
        <v>#N/A</v>
      </c>
    </row>
    <row r="812" spans="1:3" x14ac:dyDescent="0.3">
      <c r="A812" t="e">
        <f>INDEX(resultados!$A$2:$ZZ$956, 806, MATCH($B$1, resultados!$A$1:$ZZ$1, 0))</f>
        <v>#N/A</v>
      </c>
      <c r="B812" t="e">
        <f>INDEX(resultados!$A$2:$ZZ$956, 806, MATCH($B$2, resultados!$A$1:$ZZ$1, 0))</f>
        <v>#N/A</v>
      </c>
      <c r="C812" t="e">
        <f>INDEX(resultados!$A$2:$ZZ$956, 806, MATCH($B$3, resultados!$A$1:$ZZ$1, 0))</f>
        <v>#N/A</v>
      </c>
    </row>
    <row r="813" spans="1:3" x14ac:dyDescent="0.3">
      <c r="A813" t="e">
        <f>INDEX(resultados!$A$2:$ZZ$956, 807, MATCH($B$1, resultados!$A$1:$ZZ$1, 0))</f>
        <v>#N/A</v>
      </c>
      <c r="B813" t="e">
        <f>INDEX(resultados!$A$2:$ZZ$956, 807, MATCH($B$2, resultados!$A$1:$ZZ$1, 0))</f>
        <v>#N/A</v>
      </c>
      <c r="C813" t="e">
        <f>INDEX(resultados!$A$2:$ZZ$956, 807, MATCH($B$3, resultados!$A$1:$ZZ$1, 0))</f>
        <v>#N/A</v>
      </c>
    </row>
    <row r="814" spans="1:3" x14ac:dyDescent="0.3">
      <c r="A814" t="e">
        <f>INDEX(resultados!$A$2:$ZZ$956, 808, MATCH($B$1, resultados!$A$1:$ZZ$1, 0))</f>
        <v>#N/A</v>
      </c>
      <c r="B814" t="e">
        <f>INDEX(resultados!$A$2:$ZZ$956, 808, MATCH($B$2, resultados!$A$1:$ZZ$1, 0))</f>
        <v>#N/A</v>
      </c>
      <c r="C814" t="e">
        <f>INDEX(resultados!$A$2:$ZZ$956, 808, MATCH($B$3, resultados!$A$1:$ZZ$1, 0))</f>
        <v>#N/A</v>
      </c>
    </row>
    <row r="815" spans="1:3" x14ac:dyDescent="0.3">
      <c r="A815" t="e">
        <f>INDEX(resultados!$A$2:$ZZ$956, 809, MATCH($B$1, resultados!$A$1:$ZZ$1, 0))</f>
        <v>#N/A</v>
      </c>
      <c r="B815" t="e">
        <f>INDEX(resultados!$A$2:$ZZ$956, 809, MATCH($B$2, resultados!$A$1:$ZZ$1, 0))</f>
        <v>#N/A</v>
      </c>
      <c r="C815" t="e">
        <f>INDEX(resultados!$A$2:$ZZ$956, 809, MATCH($B$3, resultados!$A$1:$ZZ$1, 0))</f>
        <v>#N/A</v>
      </c>
    </row>
    <row r="816" spans="1:3" x14ac:dyDescent="0.3">
      <c r="A816" t="e">
        <f>INDEX(resultados!$A$2:$ZZ$956, 810, MATCH($B$1, resultados!$A$1:$ZZ$1, 0))</f>
        <v>#N/A</v>
      </c>
      <c r="B816" t="e">
        <f>INDEX(resultados!$A$2:$ZZ$956, 810, MATCH($B$2, resultados!$A$1:$ZZ$1, 0))</f>
        <v>#N/A</v>
      </c>
      <c r="C816" t="e">
        <f>INDEX(resultados!$A$2:$ZZ$956, 810, MATCH($B$3, resultados!$A$1:$ZZ$1, 0))</f>
        <v>#N/A</v>
      </c>
    </row>
    <row r="817" spans="1:3" x14ac:dyDescent="0.3">
      <c r="A817" t="e">
        <f>INDEX(resultados!$A$2:$ZZ$956, 811, MATCH($B$1, resultados!$A$1:$ZZ$1, 0))</f>
        <v>#N/A</v>
      </c>
      <c r="B817" t="e">
        <f>INDEX(resultados!$A$2:$ZZ$956, 811, MATCH($B$2, resultados!$A$1:$ZZ$1, 0))</f>
        <v>#N/A</v>
      </c>
      <c r="C817" t="e">
        <f>INDEX(resultados!$A$2:$ZZ$956, 811, MATCH($B$3, resultados!$A$1:$ZZ$1, 0))</f>
        <v>#N/A</v>
      </c>
    </row>
    <row r="818" spans="1:3" x14ac:dyDescent="0.3">
      <c r="A818" t="e">
        <f>INDEX(resultados!$A$2:$ZZ$956, 812, MATCH($B$1, resultados!$A$1:$ZZ$1, 0))</f>
        <v>#N/A</v>
      </c>
      <c r="B818" t="e">
        <f>INDEX(resultados!$A$2:$ZZ$956, 812, MATCH($B$2, resultados!$A$1:$ZZ$1, 0))</f>
        <v>#N/A</v>
      </c>
      <c r="C818" t="e">
        <f>INDEX(resultados!$A$2:$ZZ$956, 812, MATCH($B$3, resultados!$A$1:$ZZ$1, 0))</f>
        <v>#N/A</v>
      </c>
    </row>
    <row r="819" spans="1:3" x14ac:dyDescent="0.3">
      <c r="A819" t="e">
        <f>INDEX(resultados!$A$2:$ZZ$956, 813, MATCH($B$1, resultados!$A$1:$ZZ$1, 0))</f>
        <v>#N/A</v>
      </c>
      <c r="B819" t="e">
        <f>INDEX(resultados!$A$2:$ZZ$956, 813, MATCH($B$2, resultados!$A$1:$ZZ$1, 0))</f>
        <v>#N/A</v>
      </c>
      <c r="C819" t="e">
        <f>INDEX(resultados!$A$2:$ZZ$956, 813, MATCH($B$3, resultados!$A$1:$ZZ$1, 0))</f>
        <v>#N/A</v>
      </c>
    </row>
    <row r="820" spans="1:3" x14ac:dyDescent="0.3">
      <c r="A820" t="e">
        <f>INDEX(resultados!$A$2:$ZZ$956, 814, MATCH($B$1, resultados!$A$1:$ZZ$1, 0))</f>
        <v>#N/A</v>
      </c>
      <c r="B820" t="e">
        <f>INDEX(resultados!$A$2:$ZZ$956, 814, MATCH($B$2, resultados!$A$1:$ZZ$1, 0))</f>
        <v>#N/A</v>
      </c>
      <c r="C820" t="e">
        <f>INDEX(resultados!$A$2:$ZZ$956, 814, MATCH($B$3, resultados!$A$1:$ZZ$1, 0))</f>
        <v>#N/A</v>
      </c>
    </row>
    <row r="821" spans="1:3" x14ac:dyDescent="0.3">
      <c r="A821" t="e">
        <f>INDEX(resultados!$A$2:$ZZ$956, 815, MATCH($B$1, resultados!$A$1:$ZZ$1, 0))</f>
        <v>#N/A</v>
      </c>
      <c r="B821" t="e">
        <f>INDEX(resultados!$A$2:$ZZ$956, 815, MATCH($B$2, resultados!$A$1:$ZZ$1, 0))</f>
        <v>#N/A</v>
      </c>
      <c r="C821" t="e">
        <f>INDEX(resultados!$A$2:$ZZ$956, 815, MATCH($B$3, resultados!$A$1:$ZZ$1, 0))</f>
        <v>#N/A</v>
      </c>
    </row>
    <row r="822" spans="1:3" x14ac:dyDescent="0.3">
      <c r="A822" t="e">
        <f>INDEX(resultados!$A$2:$ZZ$956, 816, MATCH($B$1, resultados!$A$1:$ZZ$1, 0))</f>
        <v>#N/A</v>
      </c>
      <c r="B822" t="e">
        <f>INDEX(resultados!$A$2:$ZZ$956, 816, MATCH($B$2, resultados!$A$1:$ZZ$1, 0))</f>
        <v>#N/A</v>
      </c>
      <c r="C822" t="e">
        <f>INDEX(resultados!$A$2:$ZZ$956, 816, MATCH($B$3, resultados!$A$1:$ZZ$1, 0))</f>
        <v>#N/A</v>
      </c>
    </row>
    <row r="823" spans="1:3" x14ac:dyDescent="0.3">
      <c r="A823" t="e">
        <f>INDEX(resultados!$A$2:$ZZ$956, 817, MATCH($B$1, resultados!$A$1:$ZZ$1, 0))</f>
        <v>#N/A</v>
      </c>
      <c r="B823" t="e">
        <f>INDEX(resultados!$A$2:$ZZ$956, 817, MATCH($B$2, resultados!$A$1:$ZZ$1, 0))</f>
        <v>#N/A</v>
      </c>
      <c r="C823" t="e">
        <f>INDEX(resultados!$A$2:$ZZ$956, 817, MATCH($B$3, resultados!$A$1:$ZZ$1, 0))</f>
        <v>#N/A</v>
      </c>
    </row>
    <row r="824" spans="1:3" x14ac:dyDescent="0.3">
      <c r="A824" t="e">
        <f>INDEX(resultados!$A$2:$ZZ$956, 818, MATCH($B$1, resultados!$A$1:$ZZ$1, 0))</f>
        <v>#N/A</v>
      </c>
      <c r="B824" t="e">
        <f>INDEX(resultados!$A$2:$ZZ$956, 818, MATCH($B$2, resultados!$A$1:$ZZ$1, 0))</f>
        <v>#N/A</v>
      </c>
      <c r="C824" t="e">
        <f>INDEX(resultados!$A$2:$ZZ$956, 818, MATCH($B$3, resultados!$A$1:$ZZ$1, 0))</f>
        <v>#N/A</v>
      </c>
    </row>
    <row r="825" spans="1:3" x14ac:dyDescent="0.3">
      <c r="A825" t="e">
        <f>INDEX(resultados!$A$2:$ZZ$956, 819, MATCH($B$1, resultados!$A$1:$ZZ$1, 0))</f>
        <v>#N/A</v>
      </c>
      <c r="B825" t="e">
        <f>INDEX(resultados!$A$2:$ZZ$956, 819, MATCH($B$2, resultados!$A$1:$ZZ$1, 0))</f>
        <v>#N/A</v>
      </c>
      <c r="C825" t="e">
        <f>INDEX(resultados!$A$2:$ZZ$956, 819, MATCH($B$3, resultados!$A$1:$ZZ$1, 0))</f>
        <v>#N/A</v>
      </c>
    </row>
    <row r="826" spans="1:3" x14ac:dyDescent="0.3">
      <c r="A826" t="e">
        <f>INDEX(resultados!$A$2:$ZZ$956, 820, MATCH($B$1, resultados!$A$1:$ZZ$1, 0))</f>
        <v>#N/A</v>
      </c>
      <c r="B826" t="e">
        <f>INDEX(resultados!$A$2:$ZZ$956, 820, MATCH($B$2, resultados!$A$1:$ZZ$1, 0))</f>
        <v>#N/A</v>
      </c>
      <c r="C826" t="e">
        <f>INDEX(resultados!$A$2:$ZZ$956, 820, MATCH($B$3, resultados!$A$1:$ZZ$1, 0))</f>
        <v>#N/A</v>
      </c>
    </row>
    <row r="827" spans="1:3" x14ac:dyDescent="0.3">
      <c r="A827" t="e">
        <f>INDEX(resultados!$A$2:$ZZ$956, 821, MATCH($B$1, resultados!$A$1:$ZZ$1, 0))</f>
        <v>#N/A</v>
      </c>
      <c r="B827" t="e">
        <f>INDEX(resultados!$A$2:$ZZ$956, 821, MATCH($B$2, resultados!$A$1:$ZZ$1, 0))</f>
        <v>#N/A</v>
      </c>
      <c r="C827" t="e">
        <f>INDEX(resultados!$A$2:$ZZ$956, 821, MATCH($B$3, resultados!$A$1:$ZZ$1, 0))</f>
        <v>#N/A</v>
      </c>
    </row>
    <row r="828" spans="1:3" x14ac:dyDescent="0.3">
      <c r="A828" t="e">
        <f>INDEX(resultados!$A$2:$ZZ$956, 822, MATCH($B$1, resultados!$A$1:$ZZ$1, 0))</f>
        <v>#N/A</v>
      </c>
      <c r="B828" t="e">
        <f>INDEX(resultados!$A$2:$ZZ$956, 822, MATCH($B$2, resultados!$A$1:$ZZ$1, 0))</f>
        <v>#N/A</v>
      </c>
      <c r="C828" t="e">
        <f>INDEX(resultados!$A$2:$ZZ$956, 822, MATCH($B$3, resultados!$A$1:$ZZ$1, 0))</f>
        <v>#N/A</v>
      </c>
    </row>
    <row r="829" spans="1:3" x14ac:dyDescent="0.3">
      <c r="A829" t="e">
        <f>INDEX(resultados!$A$2:$ZZ$956, 823, MATCH($B$1, resultados!$A$1:$ZZ$1, 0))</f>
        <v>#N/A</v>
      </c>
      <c r="B829" t="e">
        <f>INDEX(resultados!$A$2:$ZZ$956, 823, MATCH($B$2, resultados!$A$1:$ZZ$1, 0))</f>
        <v>#N/A</v>
      </c>
      <c r="C829" t="e">
        <f>INDEX(resultados!$A$2:$ZZ$956, 823, MATCH($B$3, resultados!$A$1:$ZZ$1, 0))</f>
        <v>#N/A</v>
      </c>
    </row>
    <row r="830" spans="1:3" x14ac:dyDescent="0.3">
      <c r="A830" t="e">
        <f>INDEX(resultados!$A$2:$ZZ$956, 824, MATCH($B$1, resultados!$A$1:$ZZ$1, 0))</f>
        <v>#N/A</v>
      </c>
      <c r="B830" t="e">
        <f>INDEX(resultados!$A$2:$ZZ$956, 824, MATCH($B$2, resultados!$A$1:$ZZ$1, 0))</f>
        <v>#N/A</v>
      </c>
      <c r="C830" t="e">
        <f>INDEX(resultados!$A$2:$ZZ$956, 824, MATCH($B$3, resultados!$A$1:$ZZ$1, 0))</f>
        <v>#N/A</v>
      </c>
    </row>
    <row r="831" spans="1:3" x14ac:dyDescent="0.3">
      <c r="A831" t="e">
        <f>INDEX(resultados!$A$2:$ZZ$956, 825, MATCH($B$1, resultados!$A$1:$ZZ$1, 0))</f>
        <v>#N/A</v>
      </c>
      <c r="B831" t="e">
        <f>INDEX(resultados!$A$2:$ZZ$956, 825, MATCH($B$2, resultados!$A$1:$ZZ$1, 0))</f>
        <v>#N/A</v>
      </c>
      <c r="C831" t="e">
        <f>INDEX(resultados!$A$2:$ZZ$956, 825, MATCH($B$3, resultados!$A$1:$ZZ$1, 0))</f>
        <v>#N/A</v>
      </c>
    </row>
    <row r="832" spans="1:3" x14ac:dyDescent="0.3">
      <c r="A832" t="e">
        <f>INDEX(resultados!$A$2:$ZZ$956, 826, MATCH($B$1, resultados!$A$1:$ZZ$1, 0))</f>
        <v>#N/A</v>
      </c>
      <c r="B832" t="e">
        <f>INDEX(resultados!$A$2:$ZZ$956, 826, MATCH($B$2, resultados!$A$1:$ZZ$1, 0))</f>
        <v>#N/A</v>
      </c>
      <c r="C832" t="e">
        <f>INDEX(resultados!$A$2:$ZZ$956, 826, MATCH($B$3, resultados!$A$1:$ZZ$1, 0))</f>
        <v>#N/A</v>
      </c>
    </row>
    <row r="833" spans="1:3" x14ac:dyDescent="0.3">
      <c r="A833" t="e">
        <f>INDEX(resultados!$A$2:$ZZ$956, 827, MATCH($B$1, resultados!$A$1:$ZZ$1, 0))</f>
        <v>#N/A</v>
      </c>
      <c r="B833" t="e">
        <f>INDEX(resultados!$A$2:$ZZ$956, 827, MATCH($B$2, resultados!$A$1:$ZZ$1, 0))</f>
        <v>#N/A</v>
      </c>
      <c r="C833" t="e">
        <f>INDEX(resultados!$A$2:$ZZ$956, 827, MATCH($B$3, resultados!$A$1:$ZZ$1, 0))</f>
        <v>#N/A</v>
      </c>
    </row>
    <row r="834" spans="1:3" x14ac:dyDescent="0.3">
      <c r="A834" t="e">
        <f>INDEX(resultados!$A$2:$ZZ$956, 828, MATCH($B$1, resultados!$A$1:$ZZ$1, 0))</f>
        <v>#N/A</v>
      </c>
      <c r="B834" t="e">
        <f>INDEX(resultados!$A$2:$ZZ$956, 828, MATCH($B$2, resultados!$A$1:$ZZ$1, 0))</f>
        <v>#N/A</v>
      </c>
      <c r="C834" t="e">
        <f>INDEX(resultados!$A$2:$ZZ$956, 828, MATCH($B$3, resultados!$A$1:$ZZ$1, 0))</f>
        <v>#N/A</v>
      </c>
    </row>
    <row r="835" spans="1:3" x14ac:dyDescent="0.3">
      <c r="A835" t="e">
        <f>INDEX(resultados!$A$2:$ZZ$956, 829, MATCH($B$1, resultados!$A$1:$ZZ$1, 0))</f>
        <v>#N/A</v>
      </c>
      <c r="B835" t="e">
        <f>INDEX(resultados!$A$2:$ZZ$956, 829, MATCH($B$2, resultados!$A$1:$ZZ$1, 0))</f>
        <v>#N/A</v>
      </c>
      <c r="C835" t="e">
        <f>INDEX(resultados!$A$2:$ZZ$956, 829, MATCH($B$3, resultados!$A$1:$ZZ$1, 0))</f>
        <v>#N/A</v>
      </c>
    </row>
    <row r="836" spans="1:3" x14ac:dyDescent="0.3">
      <c r="A836" t="e">
        <f>INDEX(resultados!$A$2:$ZZ$956, 830, MATCH($B$1, resultados!$A$1:$ZZ$1, 0))</f>
        <v>#N/A</v>
      </c>
      <c r="B836" t="e">
        <f>INDEX(resultados!$A$2:$ZZ$956, 830, MATCH($B$2, resultados!$A$1:$ZZ$1, 0))</f>
        <v>#N/A</v>
      </c>
      <c r="C836" t="e">
        <f>INDEX(resultados!$A$2:$ZZ$956, 830, MATCH($B$3, resultados!$A$1:$ZZ$1, 0))</f>
        <v>#N/A</v>
      </c>
    </row>
    <row r="837" spans="1:3" x14ac:dyDescent="0.3">
      <c r="A837" t="e">
        <f>INDEX(resultados!$A$2:$ZZ$956, 831, MATCH($B$1, resultados!$A$1:$ZZ$1, 0))</f>
        <v>#N/A</v>
      </c>
      <c r="B837" t="e">
        <f>INDEX(resultados!$A$2:$ZZ$956, 831, MATCH($B$2, resultados!$A$1:$ZZ$1, 0))</f>
        <v>#N/A</v>
      </c>
      <c r="C837" t="e">
        <f>INDEX(resultados!$A$2:$ZZ$956, 831, MATCH($B$3, resultados!$A$1:$ZZ$1, 0))</f>
        <v>#N/A</v>
      </c>
    </row>
    <row r="838" spans="1:3" x14ac:dyDescent="0.3">
      <c r="A838" t="e">
        <f>INDEX(resultados!$A$2:$ZZ$956, 832, MATCH($B$1, resultados!$A$1:$ZZ$1, 0))</f>
        <v>#N/A</v>
      </c>
      <c r="B838" t="e">
        <f>INDEX(resultados!$A$2:$ZZ$956, 832, MATCH($B$2, resultados!$A$1:$ZZ$1, 0))</f>
        <v>#N/A</v>
      </c>
      <c r="C838" t="e">
        <f>INDEX(resultados!$A$2:$ZZ$956, 832, MATCH($B$3, resultados!$A$1:$ZZ$1, 0))</f>
        <v>#N/A</v>
      </c>
    </row>
    <row r="839" spans="1:3" x14ac:dyDescent="0.3">
      <c r="A839" t="e">
        <f>INDEX(resultados!$A$2:$ZZ$956, 833, MATCH($B$1, resultados!$A$1:$ZZ$1, 0))</f>
        <v>#N/A</v>
      </c>
      <c r="B839" t="e">
        <f>INDEX(resultados!$A$2:$ZZ$956, 833, MATCH($B$2, resultados!$A$1:$ZZ$1, 0))</f>
        <v>#N/A</v>
      </c>
      <c r="C839" t="e">
        <f>INDEX(resultados!$A$2:$ZZ$956, 833, MATCH($B$3, resultados!$A$1:$ZZ$1, 0))</f>
        <v>#N/A</v>
      </c>
    </row>
    <row r="840" spans="1:3" x14ac:dyDescent="0.3">
      <c r="A840" t="e">
        <f>INDEX(resultados!$A$2:$ZZ$956, 834, MATCH($B$1, resultados!$A$1:$ZZ$1, 0))</f>
        <v>#N/A</v>
      </c>
      <c r="B840" t="e">
        <f>INDEX(resultados!$A$2:$ZZ$956, 834, MATCH($B$2, resultados!$A$1:$ZZ$1, 0))</f>
        <v>#N/A</v>
      </c>
      <c r="C840" t="e">
        <f>INDEX(resultados!$A$2:$ZZ$956, 834, MATCH($B$3, resultados!$A$1:$ZZ$1, 0))</f>
        <v>#N/A</v>
      </c>
    </row>
    <row r="841" spans="1:3" x14ac:dyDescent="0.3">
      <c r="A841" t="e">
        <f>INDEX(resultados!$A$2:$ZZ$956, 835, MATCH($B$1, resultados!$A$1:$ZZ$1, 0))</f>
        <v>#N/A</v>
      </c>
      <c r="B841" t="e">
        <f>INDEX(resultados!$A$2:$ZZ$956, 835, MATCH($B$2, resultados!$A$1:$ZZ$1, 0))</f>
        <v>#N/A</v>
      </c>
      <c r="C841" t="e">
        <f>INDEX(resultados!$A$2:$ZZ$956, 835, MATCH($B$3, resultados!$A$1:$ZZ$1, 0))</f>
        <v>#N/A</v>
      </c>
    </row>
    <row r="842" spans="1:3" x14ac:dyDescent="0.3">
      <c r="A842" t="e">
        <f>INDEX(resultados!$A$2:$ZZ$956, 836, MATCH($B$1, resultados!$A$1:$ZZ$1, 0))</f>
        <v>#N/A</v>
      </c>
      <c r="B842" t="e">
        <f>INDEX(resultados!$A$2:$ZZ$956, 836, MATCH($B$2, resultados!$A$1:$ZZ$1, 0))</f>
        <v>#N/A</v>
      </c>
      <c r="C842" t="e">
        <f>INDEX(resultados!$A$2:$ZZ$956, 836, MATCH($B$3, resultados!$A$1:$ZZ$1, 0))</f>
        <v>#N/A</v>
      </c>
    </row>
    <row r="843" spans="1:3" x14ac:dyDescent="0.3">
      <c r="A843" t="e">
        <f>INDEX(resultados!$A$2:$ZZ$956, 837, MATCH($B$1, resultados!$A$1:$ZZ$1, 0))</f>
        <v>#N/A</v>
      </c>
      <c r="B843" t="e">
        <f>INDEX(resultados!$A$2:$ZZ$956, 837, MATCH($B$2, resultados!$A$1:$ZZ$1, 0))</f>
        <v>#N/A</v>
      </c>
      <c r="C843" t="e">
        <f>INDEX(resultados!$A$2:$ZZ$956, 837, MATCH($B$3, resultados!$A$1:$ZZ$1, 0))</f>
        <v>#N/A</v>
      </c>
    </row>
    <row r="844" spans="1:3" x14ac:dyDescent="0.3">
      <c r="A844" t="e">
        <f>INDEX(resultados!$A$2:$ZZ$956, 838, MATCH($B$1, resultados!$A$1:$ZZ$1, 0))</f>
        <v>#N/A</v>
      </c>
      <c r="B844" t="e">
        <f>INDEX(resultados!$A$2:$ZZ$956, 838, MATCH($B$2, resultados!$A$1:$ZZ$1, 0))</f>
        <v>#N/A</v>
      </c>
      <c r="C844" t="e">
        <f>INDEX(resultados!$A$2:$ZZ$956, 838, MATCH($B$3, resultados!$A$1:$ZZ$1, 0))</f>
        <v>#N/A</v>
      </c>
    </row>
    <row r="845" spans="1:3" x14ac:dyDescent="0.3">
      <c r="A845" t="e">
        <f>INDEX(resultados!$A$2:$ZZ$956, 839, MATCH($B$1, resultados!$A$1:$ZZ$1, 0))</f>
        <v>#N/A</v>
      </c>
      <c r="B845" t="e">
        <f>INDEX(resultados!$A$2:$ZZ$956, 839, MATCH($B$2, resultados!$A$1:$ZZ$1, 0))</f>
        <v>#N/A</v>
      </c>
      <c r="C845" t="e">
        <f>INDEX(resultados!$A$2:$ZZ$956, 839, MATCH($B$3, resultados!$A$1:$ZZ$1, 0))</f>
        <v>#N/A</v>
      </c>
    </row>
    <row r="846" spans="1:3" x14ac:dyDescent="0.3">
      <c r="A846" t="e">
        <f>INDEX(resultados!$A$2:$ZZ$956, 840, MATCH($B$1, resultados!$A$1:$ZZ$1, 0))</f>
        <v>#N/A</v>
      </c>
      <c r="B846" t="e">
        <f>INDEX(resultados!$A$2:$ZZ$956, 840, MATCH($B$2, resultados!$A$1:$ZZ$1, 0))</f>
        <v>#N/A</v>
      </c>
      <c r="C846" t="e">
        <f>INDEX(resultados!$A$2:$ZZ$956, 840, MATCH($B$3, resultados!$A$1:$ZZ$1, 0))</f>
        <v>#N/A</v>
      </c>
    </row>
    <row r="847" spans="1:3" x14ac:dyDescent="0.3">
      <c r="A847" t="e">
        <f>INDEX(resultados!$A$2:$ZZ$956, 841, MATCH($B$1, resultados!$A$1:$ZZ$1, 0))</f>
        <v>#N/A</v>
      </c>
      <c r="B847" t="e">
        <f>INDEX(resultados!$A$2:$ZZ$956, 841, MATCH($B$2, resultados!$A$1:$ZZ$1, 0))</f>
        <v>#N/A</v>
      </c>
      <c r="C847" t="e">
        <f>INDEX(resultados!$A$2:$ZZ$956, 841, MATCH($B$3, resultados!$A$1:$ZZ$1, 0))</f>
        <v>#N/A</v>
      </c>
    </row>
    <row r="848" spans="1:3" x14ac:dyDescent="0.3">
      <c r="A848" t="e">
        <f>INDEX(resultados!$A$2:$ZZ$956, 842, MATCH($B$1, resultados!$A$1:$ZZ$1, 0))</f>
        <v>#N/A</v>
      </c>
      <c r="B848" t="e">
        <f>INDEX(resultados!$A$2:$ZZ$956, 842, MATCH($B$2, resultados!$A$1:$ZZ$1, 0))</f>
        <v>#N/A</v>
      </c>
      <c r="C848" t="e">
        <f>INDEX(resultados!$A$2:$ZZ$956, 842, MATCH($B$3, resultados!$A$1:$ZZ$1, 0))</f>
        <v>#N/A</v>
      </c>
    </row>
    <row r="849" spans="1:3" x14ac:dyDescent="0.3">
      <c r="A849" t="e">
        <f>INDEX(resultados!$A$2:$ZZ$956, 843, MATCH($B$1, resultados!$A$1:$ZZ$1, 0))</f>
        <v>#N/A</v>
      </c>
      <c r="B849" t="e">
        <f>INDEX(resultados!$A$2:$ZZ$956, 843, MATCH($B$2, resultados!$A$1:$ZZ$1, 0))</f>
        <v>#N/A</v>
      </c>
      <c r="C849" t="e">
        <f>INDEX(resultados!$A$2:$ZZ$956, 843, MATCH($B$3, resultados!$A$1:$ZZ$1, 0))</f>
        <v>#N/A</v>
      </c>
    </row>
    <row r="850" spans="1:3" x14ac:dyDescent="0.3">
      <c r="A850" t="e">
        <f>INDEX(resultados!$A$2:$ZZ$956, 844, MATCH($B$1, resultados!$A$1:$ZZ$1, 0))</f>
        <v>#N/A</v>
      </c>
      <c r="B850" t="e">
        <f>INDEX(resultados!$A$2:$ZZ$956, 844, MATCH($B$2, resultados!$A$1:$ZZ$1, 0))</f>
        <v>#N/A</v>
      </c>
      <c r="C850" t="e">
        <f>INDEX(resultados!$A$2:$ZZ$956, 844, MATCH($B$3, resultados!$A$1:$ZZ$1, 0))</f>
        <v>#N/A</v>
      </c>
    </row>
    <row r="851" spans="1:3" x14ac:dyDescent="0.3">
      <c r="A851" t="e">
        <f>INDEX(resultados!$A$2:$ZZ$956, 845, MATCH($B$1, resultados!$A$1:$ZZ$1, 0))</f>
        <v>#N/A</v>
      </c>
      <c r="B851" t="e">
        <f>INDEX(resultados!$A$2:$ZZ$956, 845, MATCH($B$2, resultados!$A$1:$ZZ$1, 0))</f>
        <v>#N/A</v>
      </c>
      <c r="C851" t="e">
        <f>INDEX(resultados!$A$2:$ZZ$956, 845, MATCH($B$3, resultados!$A$1:$ZZ$1, 0))</f>
        <v>#N/A</v>
      </c>
    </row>
    <row r="852" spans="1:3" x14ac:dyDescent="0.3">
      <c r="A852" t="e">
        <f>INDEX(resultados!$A$2:$ZZ$956, 846, MATCH($B$1, resultados!$A$1:$ZZ$1, 0))</f>
        <v>#N/A</v>
      </c>
      <c r="B852" t="e">
        <f>INDEX(resultados!$A$2:$ZZ$956, 846, MATCH($B$2, resultados!$A$1:$ZZ$1, 0))</f>
        <v>#N/A</v>
      </c>
      <c r="C852" t="e">
        <f>INDEX(resultados!$A$2:$ZZ$956, 846, MATCH($B$3, resultados!$A$1:$ZZ$1, 0))</f>
        <v>#N/A</v>
      </c>
    </row>
    <row r="853" spans="1:3" x14ac:dyDescent="0.3">
      <c r="A853" t="e">
        <f>INDEX(resultados!$A$2:$ZZ$956, 847, MATCH($B$1, resultados!$A$1:$ZZ$1, 0))</f>
        <v>#N/A</v>
      </c>
      <c r="B853" t="e">
        <f>INDEX(resultados!$A$2:$ZZ$956, 847, MATCH($B$2, resultados!$A$1:$ZZ$1, 0))</f>
        <v>#N/A</v>
      </c>
      <c r="C853" t="e">
        <f>INDEX(resultados!$A$2:$ZZ$956, 847, MATCH($B$3, resultados!$A$1:$ZZ$1, 0))</f>
        <v>#N/A</v>
      </c>
    </row>
    <row r="854" spans="1:3" x14ac:dyDescent="0.3">
      <c r="A854" t="e">
        <f>INDEX(resultados!$A$2:$ZZ$956, 848, MATCH($B$1, resultados!$A$1:$ZZ$1, 0))</f>
        <v>#N/A</v>
      </c>
      <c r="B854" t="e">
        <f>INDEX(resultados!$A$2:$ZZ$956, 848, MATCH($B$2, resultados!$A$1:$ZZ$1, 0))</f>
        <v>#N/A</v>
      </c>
      <c r="C854" t="e">
        <f>INDEX(resultados!$A$2:$ZZ$956, 848, MATCH($B$3, resultados!$A$1:$ZZ$1, 0))</f>
        <v>#N/A</v>
      </c>
    </row>
    <row r="855" spans="1:3" x14ac:dyDescent="0.3">
      <c r="A855" t="e">
        <f>INDEX(resultados!$A$2:$ZZ$956, 849, MATCH($B$1, resultados!$A$1:$ZZ$1, 0))</f>
        <v>#N/A</v>
      </c>
      <c r="B855" t="e">
        <f>INDEX(resultados!$A$2:$ZZ$956, 849, MATCH($B$2, resultados!$A$1:$ZZ$1, 0))</f>
        <v>#N/A</v>
      </c>
      <c r="C855" t="e">
        <f>INDEX(resultados!$A$2:$ZZ$956, 849, MATCH($B$3, resultados!$A$1:$ZZ$1, 0))</f>
        <v>#N/A</v>
      </c>
    </row>
    <row r="856" spans="1:3" x14ac:dyDescent="0.3">
      <c r="A856" t="e">
        <f>INDEX(resultados!$A$2:$ZZ$956, 850, MATCH($B$1, resultados!$A$1:$ZZ$1, 0))</f>
        <v>#N/A</v>
      </c>
      <c r="B856" t="e">
        <f>INDEX(resultados!$A$2:$ZZ$956, 850, MATCH($B$2, resultados!$A$1:$ZZ$1, 0))</f>
        <v>#N/A</v>
      </c>
      <c r="C856" t="e">
        <f>INDEX(resultados!$A$2:$ZZ$956, 850, MATCH($B$3, resultados!$A$1:$ZZ$1, 0))</f>
        <v>#N/A</v>
      </c>
    </row>
    <row r="857" spans="1:3" x14ac:dyDescent="0.3">
      <c r="A857" t="e">
        <f>INDEX(resultados!$A$2:$ZZ$956, 851, MATCH($B$1, resultados!$A$1:$ZZ$1, 0))</f>
        <v>#N/A</v>
      </c>
      <c r="B857" t="e">
        <f>INDEX(resultados!$A$2:$ZZ$956, 851, MATCH($B$2, resultados!$A$1:$ZZ$1, 0))</f>
        <v>#N/A</v>
      </c>
      <c r="C857" t="e">
        <f>INDEX(resultados!$A$2:$ZZ$956, 851, MATCH($B$3, resultados!$A$1:$ZZ$1, 0))</f>
        <v>#N/A</v>
      </c>
    </row>
    <row r="858" spans="1:3" x14ac:dyDescent="0.3">
      <c r="A858" t="e">
        <f>INDEX(resultados!$A$2:$ZZ$956, 852, MATCH($B$1, resultados!$A$1:$ZZ$1, 0))</f>
        <v>#N/A</v>
      </c>
      <c r="B858" t="e">
        <f>INDEX(resultados!$A$2:$ZZ$956, 852, MATCH($B$2, resultados!$A$1:$ZZ$1, 0))</f>
        <v>#N/A</v>
      </c>
      <c r="C858" t="e">
        <f>INDEX(resultados!$A$2:$ZZ$956, 852, MATCH($B$3, resultados!$A$1:$ZZ$1, 0))</f>
        <v>#N/A</v>
      </c>
    </row>
    <row r="859" spans="1:3" x14ac:dyDescent="0.3">
      <c r="A859" t="e">
        <f>INDEX(resultados!$A$2:$ZZ$956, 853, MATCH($B$1, resultados!$A$1:$ZZ$1, 0))</f>
        <v>#N/A</v>
      </c>
      <c r="B859" t="e">
        <f>INDEX(resultados!$A$2:$ZZ$956, 853, MATCH($B$2, resultados!$A$1:$ZZ$1, 0))</f>
        <v>#N/A</v>
      </c>
      <c r="C859" t="e">
        <f>INDEX(resultados!$A$2:$ZZ$956, 853, MATCH($B$3, resultados!$A$1:$ZZ$1, 0))</f>
        <v>#N/A</v>
      </c>
    </row>
    <row r="860" spans="1:3" x14ac:dyDescent="0.3">
      <c r="A860" t="e">
        <f>INDEX(resultados!$A$2:$ZZ$956, 854, MATCH($B$1, resultados!$A$1:$ZZ$1, 0))</f>
        <v>#N/A</v>
      </c>
      <c r="B860" t="e">
        <f>INDEX(resultados!$A$2:$ZZ$956, 854, MATCH($B$2, resultados!$A$1:$ZZ$1, 0))</f>
        <v>#N/A</v>
      </c>
      <c r="C860" t="e">
        <f>INDEX(resultados!$A$2:$ZZ$956, 854, MATCH($B$3, resultados!$A$1:$ZZ$1, 0))</f>
        <v>#N/A</v>
      </c>
    </row>
    <row r="861" spans="1:3" x14ac:dyDescent="0.3">
      <c r="A861" t="e">
        <f>INDEX(resultados!$A$2:$ZZ$956, 855, MATCH($B$1, resultados!$A$1:$ZZ$1, 0))</f>
        <v>#N/A</v>
      </c>
      <c r="B861" t="e">
        <f>INDEX(resultados!$A$2:$ZZ$956, 855, MATCH($B$2, resultados!$A$1:$ZZ$1, 0))</f>
        <v>#N/A</v>
      </c>
      <c r="C861" t="e">
        <f>INDEX(resultados!$A$2:$ZZ$956, 855, MATCH($B$3, resultados!$A$1:$ZZ$1, 0))</f>
        <v>#N/A</v>
      </c>
    </row>
    <row r="862" spans="1:3" x14ac:dyDescent="0.3">
      <c r="A862" t="e">
        <f>INDEX(resultados!$A$2:$ZZ$956, 856, MATCH($B$1, resultados!$A$1:$ZZ$1, 0))</f>
        <v>#N/A</v>
      </c>
      <c r="B862" t="e">
        <f>INDEX(resultados!$A$2:$ZZ$956, 856, MATCH($B$2, resultados!$A$1:$ZZ$1, 0))</f>
        <v>#N/A</v>
      </c>
      <c r="C862" t="e">
        <f>INDEX(resultados!$A$2:$ZZ$956, 856, MATCH($B$3, resultados!$A$1:$ZZ$1, 0))</f>
        <v>#N/A</v>
      </c>
    </row>
    <row r="863" spans="1:3" x14ac:dyDescent="0.3">
      <c r="A863" t="e">
        <f>INDEX(resultados!$A$2:$ZZ$956, 857, MATCH($B$1, resultados!$A$1:$ZZ$1, 0))</f>
        <v>#N/A</v>
      </c>
      <c r="B863" t="e">
        <f>INDEX(resultados!$A$2:$ZZ$956, 857, MATCH($B$2, resultados!$A$1:$ZZ$1, 0))</f>
        <v>#N/A</v>
      </c>
      <c r="C863" t="e">
        <f>INDEX(resultados!$A$2:$ZZ$956, 857, MATCH($B$3, resultados!$A$1:$ZZ$1, 0))</f>
        <v>#N/A</v>
      </c>
    </row>
    <row r="864" spans="1:3" x14ac:dyDescent="0.3">
      <c r="A864" t="e">
        <f>INDEX(resultados!$A$2:$ZZ$956, 858, MATCH($B$1, resultados!$A$1:$ZZ$1, 0))</f>
        <v>#N/A</v>
      </c>
      <c r="B864" t="e">
        <f>INDEX(resultados!$A$2:$ZZ$956, 858, MATCH($B$2, resultados!$A$1:$ZZ$1, 0))</f>
        <v>#N/A</v>
      </c>
      <c r="C864" t="e">
        <f>INDEX(resultados!$A$2:$ZZ$956, 858, MATCH($B$3, resultados!$A$1:$ZZ$1, 0))</f>
        <v>#N/A</v>
      </c>
    </row>
    <row r="865" spans="1:3" x14ac:dyDescent="0.3">
      <c r="A865" t="e">
        <f>INDEX(resultados!$A$2:$ZZ$956, 859, MATCH($B$1, resultados!$A$1:$ZZ$1, 0))</f>
        <v>#N/A</v>
      </c>
      <c r="B865" t="e">
        <f>INDEX(resultados!$A$2:$ZZ$956, 859, MATCH($B$2, resultados!$A$1:$ZZ$1, 0))</f>
        <v>#N/A</v>
      </c>
      <c r="C865" t="e">
        <f>INDEX(resultados!$A$2:$ZZ$956, 859, MATCH($B$3, resultados!$A$1:$ZZ$1, 0))</f>
        <v>#N/A</v>
      </c>
    </row>
    <row r="866" spans="1:3" x14ac:dyDescent="0.3">
      <c r="A866" t="e">
        <f>INDEX(resultados!$A$2:$ZZ$956, 860, MATCH($B$1, resultados!$A$1:$ZZ$1, 0))</f>
        <v>#N/A</v>
      </c>
      <c r="B866" t="e">
        <f>INDEX(resultados!$A$2:$ZZ$956, 860, MATCH($B$2, resultados!$A$1:$ZZ$1, 0))</f>
        <v>#N/A</v>
      </c>
      <c r="C866" t="e">
        <f>INDEX(resultados!$A$2:$ZZ$956, 860, MATCH($B$3, resultados!$A$1:$ZZ$1, 0))</f>
        <v>#N/A</v>
      </c>
    </row>
    <row r="867" spans="1:3" x14ac:dyDescent="0.3">
      <c r="A867" t="e">
        <f>INDEX(resultados!$A$2:$ZZ$956, 861, MATCH($B$1, resultados!$A$1:$ZZ$1, 0))</f>
        <v>#N/A</v>
      </c>
      <c r="B867" t="e">
        <f>INDEX(resultados!$A$2:$ZZ$956, 861, MATCH($B$2, resultados!$A$1:$ZZ$1, 0))</f>
        <v>#N/A</v>
      </c>
      <c r="C867" t="e">
        <f>INDEX(resultados!$A$2:$ZZ$956, 861, MATCH($B$3, resultados!$A$1:$ZZ$1, 0))</f>
        <v>#N/A</v>
      </c>
    </row>
    <row r="868" spans="1:3" x14ac:dyDescent="0.3">
      <c r="A868" t="e">
        <f>INDEX(resultados!$A$2:$ZZ$956, 862, MATCH($B$1, resultados!$A$1:$ZZ$1, 0))</f>
        <v>#N/A</v>
      </c>
      <c r="B868" t="e">
        <f>INDEX(resultados!$A$2:$ZZ$956, 862, MATCH($B$2, resultados!$A$1:$ZZ$1, 0))</f>
        <v>#N/A</v>
      </c>
      <c r="C868" t="e">
        <f>INDEX(resultados!$A$2:$ZZ$956, 862, MATCH($B$3, resultados!$A$1:$ZZ$1, 0))</f>
        <v>#N/A</v>
      </c>
    </row>
    <row r="869" spans="1:3" x14ac:dyDescent="0.3">
      <c r="A869" t="e">
        <f>INDEX(resultados!$A$2:$ZZ$956, 863, MATCH($B$1, resultados!$A$1:$ZZ$1, 0))</f>
        <v>#N/A</v>
      </c>
      <c r="B869" t="e">
        <f>INDEX(resultados!$A$2:$ZZ$956, 863, MATCH($B$2, resultados!$A$1:$ZZ$1, 0))</f>
        <v>#N/A</v>
      </c>
      <c r="C869" t="e">
        <f>INDEX(resultados!$A$2:$ZZ$956, 863, MATCH($B$3, resultados!$A$1:$ZZ$1, 0))</f>
        <v>#N/A</v>
      </c>
    </row>
    <row r="870" spans="1:3" x14ac:dyDescent="0.3">
      <c r="A870" t="e">
        <f>INDEX(resultados!$A$2:$ZZ$956, 864, MATCH($B$1, resultados!$A$1:$ZZ$1, 0))</f>
        <v>#N/A</v>
      </c>
      <c r="B870" t="e">
        <f>INDEX(resultados!$A$2:$ZZ$956, 864, MATCH($B$2, resultados!$A$1:$ZZ$1, 0))</f>
        <v>#N/A</v>
      </c>
      <c r="C870" t="e">
        <f>INDEX(resultados!$A$2:$ZZ$956, 864, MATCH($B$3, resultados!$A$1:$ZZ$1, 0))</f>
        <v>#N/A</v>
      </c>
    </row>
    <row r="871" spans="1:3" x14ac:dyDescent="0.3">
      <c r="A871" t="e">
        <f>INDEX(resultados!$A$2:$ZZ$956, 865, MATCH($B$1, resultados!$A$1:$ZZ$1, 0))</f>
        <v>#N/A</v>
      </c>
      <c r="B871" t="e">
        <f>INDEX(resultados!$A$2:$ZZ$956, 865, MATCH($B$2, resultados!$A$1:$ZZ$1, 0))</f>
        <v>#N/A</v>
      </c>
      <c r="C871" t="e">
        <f>INDEX(resultados!$A$2:$ZZ$956, 865, MATCH($B$3, resultados!$A$1:$ZZ$1, 0))</f>
        <v>#N/A</v>
      </c>
    </row>
    <row r="872" spans="1:3" x14ac:dyDescent="0.3">
      <c r="A872" t="e">
        <f>INDEX(resultados!$A$2:$ZZ$956, 866, MATCH($B$1, resultados!$A$1:$ZZ$1, 0))</f>
        <v>#N/A</v>
      </c>
      <c r="B872" t="e">
        <f>INDEX(resultados!$A$2:$ZZ$956, 866, MATCH($B$2, resultados!$A$1:$ZZ$1, 0))</f>
        <v>#N/A</v>
      </c>
      <c r="C872" t="e">
        <f>INDEX(resultados!$A$2:$ZZ$956, 866, MATCH($B$3, resultados!$A$1:$ZZ$1, 0))</f>
        <v>#N/A</v>
      </c>
    </row>
    <row r="873" spans="1:3" x14ac:dyDescent="0.3">
      <c r="A873" t="e">
        <f>INDEX(resultados!$A$2:$ZZ$956, 867, MATCH($B$1, resultados!$A$1:$ZZ$1, 0))</f>
        <v>#N/A</v>
      </c>
      <c r="B873" t="e">
        <f>INDEX(resultados!$A$2:$ZZ$956, 867, MATCH($B$2, resultados!$A$1:$ZZ$1, 0))</f>
        <v>#N/A</v>
      </c>
      <c r="C873" t="e">
        <f>INDEX(resultados!$A$2:$ZZ$956, 867, MATCH($B$3, resultados!$A$1:$ZZ$1, 0))</f>
        <v>#N/A</v>
      </c>
    </row>
    <row r="874" spans="1:3" x14ac:dyDescent="0.3">
      <c r="A874" t="e">
        <f>INDEX(resultados!$A$2:$ZZ$956, 868, MATCH($B$1, resultados!$A$1:$ZZ$1, 0))</f>
        <v>#N/A</v>
      </c>
      <c r="B874" t="e">
        <f>INDEX(resultados!$A$2:$ZZ$956, 868, MATCH($B$2, resultados!$A$1:$ZZ$1, 0))</f>
        <v>#N/A</v>
      </c>
      <c r="C874" t="e">
        <f>INDEX(resultados!$A$2:$ZZ$956, 868, MATCH($B$3, resultados!$A$1:$ZZ$1, 0))</f>
        <v>#N/A</v>
      </c>
    </row>
    <row r="875" spans="1:3" x14ac:dyDescent="0.3">
      <c r="A875" t="e">
        <f>INDEX(resultados!$A$2:$ZZ$956, 869, MATCH($B$1, resultados!$A$1:$ZZ$1, 0))</f>
        <v>#N/A</v>
      </c>
      <c r="B875" t="e">
        <f>INDEX(resultados!$A$2:$ZZ$956, 869, MATCH($B$2, resultados!$A$1:$ZZ$1, 0))</f>
        <v>#N/A</v>
      </c>
      <c r="C875" t="e">
        <f>INDEX(resultados!$A$2:$ZZ$956, 869, MATCH($B$3, resultados!$A$1:$ZZ$1, 0))</f>
        <v>#N/A</v>
      </c>
    </row>
    <row r="876" spans="1:3" x14ac:dyDescent="0.3">
      <c r="A876" t="e">
        <f>INDEX(resultados!$A$2:$ZZ$956, 870, MATCH($B$1, resultados!$A$1:$ZZ$1, 0))</f>
        <v>#N/A</v>
      </c>
      <c r="B876" t="e">
        <f>INDEX(resultados!$A$2:$ZZ$956, 870, MATCH($B$2, resultados!$A$1:$ZZ$1, 0))</f>
        <v>#N/A</v>
      </c>
      <c r="C876" t="e">
        <f>INDEX(resultados!$A$2:$ZZ$956, 870, MATCH($B$3, resultados!$A$1:$ZZ$1, 0))</f>
        <v>#N/A</v>
      </c>
    </row>
    <row r="877" spans="1:3" x14ac:dyDescent="0.3">
      <c r="A877" t="e">
        <f>INDEX(resultados!$A$2:$ZZ$956, 871, MATCH($B$1, resultados!$A$1:$ZZ$1, 0))</f>
        <v>#N/A</v>
      </c>
      <c r="B877" t="e">
        <f>INDEX(resultados!$A$2:$ZZ$956, 871, MATCH($B$2, resultados!$A$1:$ZZ$1, 0))</f>
        <v>#N/A</v>
      </c>
      <c r="C877" t="e">
        <f>INDEX(resultados!$A$2:$ZZ$956, 871, MATCH($B$3, resultados!$A$1:$ZZ$1, 0))</f>
        <v>#N/A</v>
      </c>
    </row>
    <row r="878" spans="1:3" x14ac:dyDescent="0.3">
      <c r="A878" t="e">
        <f>INDEX(resultados!$A$2:$ZZ$956, 872, MATCH($B$1, resultados!$A$1:$ZZ$1, 0))</f>
        <v>#N/A</v>
      </c>
      <c r="B878" t="e">
        <f>INDEX(resultados!$A$2:$ZZ$956, 872, MATCH($B$2, resultados!$A$1:$ZZ$1, 0))</f>
        <v>#N/A</v>
      </c>
      <c r="C878" t="e">
        <f>INDEX(resultados!$A$2:$ZZ$956, 872, MATCH($B$3, resultados!$A$1:$ZZ$1, 0))</f>
        <v>#N/A</v>
      </c>
    </row>
    <row r="879" spans="1:3" x14ac:dyDescent="0.3">
      <c r="A879" t="e">
        <f>INDEX(resultados!$A$2:$ZZ$956, 873, MATCH($B$1, resultados!$A$1:$ZZ$1, 0))</f>
        <v>#N/A</v>
      </c>
      <c r="B879" t="e">
        <f>INDEX(resultados!$A$2:$ZZ$956, 873, MATCH($B$2, resultados!$A$1:$ZZ$1, 0))</f>
        <v>#N/A</v>
      </c>
      <c r="C879" t="e">
        <f>INDEX(resultados!$A$2:$ZZ$956, 873, MATCH($B$3, resultados!$A$1:$ZZ$1, 0))</f>
        <v>#N/A</v>
      </c>
    </row>
    <row r="880" spans="1:3" x14ac:dyDescent="0.3">
      <c r="A880" t="e">
        <f>INDEX(resultados!$A$2:$ZZ$956, 874, MATCH($B$1, resultados!$A$1:$ZZ$1, 0))</f>
        <v>#N/A</v>
      </c>
      <c r="B880" t="e">
        <f>INDEX(resultados!$A$2:$ZZ$956, 874, MATCH($B$2, resultados!$A$1:$ZZ$1, 0))</f>
        <v>#N/A</v>
      </c>
      <c r="C880" t="e">
        <f>INDEX(resultados!$A$2:$ZZ$956, 874, MATCH($B$3, resultados!$A$1:$ZZ$1, 0))</f>
        <v>#N/A</v>
      </c>
    </row>
    <row r="881" spans="1:3" x14ac:dyDescent="0.3">
      <c r="A881" t="e">
        <f>INDEX(resultados!$A$2:$ZZ$956, 875, MATCH($B$1, resultados!$A$1:$ZZ$1, 0))</f>
        <v>#N/A</v>
      </c>
      <c r="B881" t="e">
        <f>INDEX(resultados!$A$2:$ZZ$956, 875, MATCH($B$2, resultados!$A$1:$ZZ$1, 0))</f>
        <v>#N/A</v>
      </c>
      <c r="C881" t="e">
        <f>INDEX(resultados!$A$2:$ZZ$956, 875, MATCH($B$3, resultados!$A$1:$ZZ$1, 0))</f>
        <v>#N/A</v>
      </c>
    </row>
    <row r="882" spans="1:3" x14ac:dyDescent="0.3">
      <c r="A882" t="e">
        <f>INDEX(resultados!$A$2:$ZZ$956, 876, MATCH($B$1, resultados!$A$1:$ZZ$1, 0))</f>
        <v>#N/A</v>
      </c>
      <c r="B882" t="e">
        <f>INDEX(resultados!$A$2:$ZZ$956, 876, MATCH($B$2, resultados!$A$1:$ZZ$1, 0))</f>
        <v>#N/A</v>
      </c>
      <c r="C882" t="e">
        <f>INDEX(resultados!$A$2:$ZZ$956, 876, MATCH($B$3, resultados!$A$1:$ZZ$1, 0))</f>
        <v>#N/A</v>
      </c>
    </row>
    <row r="883" spans="1:3" x14ac:dyDescent="0.3">
      <c r="A883" t="e">
        <f>INDEX(resultados!$A$2:$ZZ$956, 877, MATCH($B$1, resultados!$A$1:$ZZ$1, 0))</f>
        <v>#N/A</v>
      </c>
      <c r="B883" t="e">
        <f>INDEX(resultados!$A$2:$ZZ$956, 877, MATCH($B$2, resultados!$A$1:$ZZ$1, 0))</f>
        <v>#N/A</v>
      </c>
      <c r="C883" t="e">
        <f>INDEX(resultados!$A$2:$ZZ$956, 877, MATCH($B$3, resultados!$A$1:$ZZ$1, 0))</f>
        <v>#N/A</v>
      </c>
    </row>
    <row r="884" spans="1:3" x14ac:dyDescent="0.3">
      <c r="A884" t="e">
        <f>INDEX(resultados!$A$2:$ZZ$956, 878, MATCH($B$1, resultados!$A$1:$ZZ$1, 0))</f>
        <v>#N/A</v>
      </c>
      <c r="B884" t="e">
        <f>INDEX(resultados!$A$2:$ZZ$956, 878, MATCH($B$2, resultados!$A$1:$ZZ$1, 0))</f>
        <v>#N/A</v>
      </c>
      <c r="C884" t="e">
        <f>INDEX(resultados!$A$2:$ZZ$956, 878, MATCH($B$3, resultados!$A$1:$ZZ$1, 0))</f>
        <v>#N/A</v>
      </c>
    </row>
    <row r="885" spans="1:3" x14ac:dyDescent="0.3">
      <c r="A885" t="e">
        <f>INDEX(resultados!$A$2:$ZZ$956, 879, MATCH($B$1, resultados!$A$1:$ZZ$1, 0))</f>
        <v>#N/A</v>
      </c>
      <c r="B885" t="e">
        <f>INDEX(resultados!$A$2:$ZZ$956, 879, MATCH($B$2, resultados!$A$1:$ZZ$1, 0))</f>
        <v>#N/A</v>
      </c>
      <c r="C885" t="e">
        <f>INDEX(resultados!$A$2:$ZZ$956, 879, MATCH($B$3, resultados!$A$1:$ZZ$1, 0))</f>
        <v>#N/A</v>
      </c>
    </row>
    <row r="886" spans="1:3" x14ac:dyDescent="0.3">
      <c r="A886" t="e">
        <f>INDEX(resultados!$A$2:$ZZ$956, 880, MATCH($B$1, resultados!$A$1:$ZZ$1, 0))</f>
        <v>#N/A</v>
      </c>
      <c r="B886" t="e">
        <f>INDEX(resultados!$A$2:$ZZ$956, 880, MATCH($B$2, resultados!$A$1:$ZZ$1, 0))</f>
        <v>#N/A</v>
      </c>
      <c r="C886" t="e">
        <f>INDEX(resultados!$A$2:$ZZ$956, 880, MATCH($B$3, resultados!$A$1:$ZZ$1, 0))</f>
        <v>#N/A</v>
      </c>
    </row>
    <row r="887" spans="1:3" x14ac:dyDescent="0.3">
      <c r="A887" t="e">
        <f>INDEX(resultados!$A$2:$ZZ$956, 881, MATCH($B$1, resultados!$A$1:$ZZ$1, 0))</f>
        <v>#N/A</v>
      </c>
      <c r="B887" t="e">
        <f>INDEX(resultados!$A$2:$ZZ$956, 881, MATCH($B$2, resultados!$A$1:$ZZ$1, 0))</f>
        <v>#N/A</v>
      </c>
      <c r="C887" t="e">
        <f>INDEX(resultados!$A$2:$ZZ$956, 881, MATCH($B$3, resultados!$A$1:$ZZ$1, 0))</f>
        <v>#N/A</v>
      </c>
    </row>
    <row r="888" spans="1:3" x14ac:dyDescent="0.3">
      <c r="A888" t="e">
        <f>INDEX(resultados!$A$2:$ZZ$956, 882, MATCH($B$1, resultados!$A$1:$ZZ$1, 0))</f>
        <v>#N/A</v>
      </c>
      <c r="B888" t="e">
        <f>INDEX(resultados!$A$2:$ZZ$956, 882, MATCH($B$2, resultados!$A$1:$ZZ$1, 0))</f>
        <v>#N/A</v>
      </c>
      <c r="C888" t="e">
        <f>INDEX(resultados!$A$2:$ZZ$956, 882, MATCH($B$3, resultados!$A$1:$ZZ$1, 0))</f>
        <v>#N/A</v>
      </c>
    </row>
    <row r="889" spans="1:3" x14ac:dyDescent="0.3">
      <c r="A889" t="e">
        <f>INDEX(resultados!$A$2:$ZZ$956, 883, MATCH($B$1, resultados!$A$1:$ZZ$1, 0))</f>
        <v>#N/A</v>
      </c>
      <c r="B889" t="e">
        <f>INDEX(resultados!$A$2:$ZZ$956, 883, MATCH($B$2, resultados!$A$1:$ZZ$1, 0))</f>
        <v>#N/A</v>
      </c>
      <c r="C889" t="e">
        <f>INDEX(resultados!$A$2:$ZZ$956, 883, MATCH($B$3, resultados!$A$1:$ZZ$1, 0))</f>
        <v>#N/A</v>
      </c>
    </row>
    <row r="890" spans="1:3" x14ac:dyDescent="0.3">
      <c r="A890" t="e">
        <f>INDEX(resultados!$A$2:$ZZ$956, 884, MATCH($B$1, resultados!$A$1:$ZZ$1, 0))</f>
        <v>#N/A</v>
      </c>
      <c r="B890" t="e">
        <f>INDEX(resultados!$A$2:$ZZ$956, 884, MATCH($B$2, resultados!$A$1:$ZZ$1, 0))</f>
        <v>#N/A</v>
      </c>
      <c r="C890" t="e">
        <f>INDEX(resultados!$A$2:$ZZ$956, 884, MATCH($B$3, resultados!$A$1:$ZZ$1, 0))</f>
        <v>#N/A</v>
      </c>
    </row>
    <row r="891" spans="1:3" x14ac:dyDescent="0.3">
      <c r="A891" t="e">
        <f>INDEX(resultados!$A$2:$ZZ$956, 885, MATCH($B$1, resultados!$A$1:$ZZ$1, 0))</f>
        <v>#N/A</v>
      </c>
      <c r="B891" t="e">
        <f>INDEX(resultados!$A$2:$ZZ$956, 885, MATCH($B$2, resultados!$A$1:$ZZ$1, 0))</f>
        <v>#N/A</v>
      </c>
      <c r="C891" t="e">
        <f>INDEX(resultados!$A$2:$ZZ$956, 885, MATCH($B$3, resultados!$A$1:$ZZ$1, 0))</f>
        <v>#N/A</v>
      </c>
    </row>
    <row r="892" spans="1:3" x14ac:dyDescent="0.3">
      <c r="A892" t="e">
        <f>INDEX(resultados!$A$2:$ZZ$956, 886, MATCH($B$1, resultados!$A$1:$ZZ$1, 0))</f>
        <v>#N/A</v>
      </c>
      <c r="B892" t="e">
        <f>INDEX(resultados!$A$2:$ZZ$956, 886, MATCH($B$2, resultados!$A$1:$ZZ$1, 0))</f>
        <v>#N/A</v>
      </c>
      <c r="C892" t="e">
        <f>INDEX(resultados!$A$2:$ZZ$956, 886, MATCH($B$3, resultados!$A$1:$ZZ$1, 0))</f>
        <v>#N/A</v>
      </c>
    </row>
    <row r="893" spans="1:3" x14ac:dyDescent="0.3">
      <c r="A893" t="e">
        <f>INDEX(resultados!$A$2:$ZZ$956, 887, MATCH($B$1, resultados!$A$1:$ZZ$1, 0))</f>
        <v>#N/A</v>
      </c>
      <c r="B893" t="e">
        <f>INDEX(resultados!$A$2:$ZZ$956, 887, MATCH($B$2, resultados!$A$1:$ZZ$1, 0))</f>
        <v>#N/A</v>
      </c>
      <c r="C893" t="e">
        <f>INDEX(resultados!$A$2:$ZZ$956, 887, MATCH($B$3, resultados!$A$1:$ZZ$1, 0))</f>
        <v>#N/A</v>
      </c>
    </row>
    <row r="894" spans="1:3" x14ac:dyDescent="0.3">
      <c r="A894" t="e">
        <f>INDEX(resultados!$A$2:$ZZ$956, 888, MATCH($B$1, resultados!$A$1:$ZZ$1, 0))</f>
        <v>#N/A</v>
      </c>
      <c r="B894" t="e">
        <f>INDEX(resultados!$A$2:$ZZ$956, 888, MATCH($B$2, resultados!$A$1:$ZZ$1, 0))</f>
        <v>#N/A</v>
      </c>
      <c r="C894" t="e">
        <f>INDEX(resultados!$A$2:$ZZ$956, 888, MATCH($B$3, resultados!$A$1:$ZZ$1, 0))</f>
        <v>#N/A</v>
      </c>
    </row>
    <row r="895" spans="1:3" x14ac:dyDescent="0.3">
      <c r="A895" t="e">
        <f>INDEX(resultados!$A$2:$ZZ$956, 889, MATCH($B$1, resultados!$A$1:$ZZ$1, 0))</f>
        <v>#N/A</v>
      </c>
      <c r="B895" t="e">
        <f>INDEX(resultados!$A$2:$ZZ$956, 889, MATCH($B$2, resultados!$A$1:$ZZ$1, 0))</f>
        <v>#N/A</v>
      </c>
      <c r="C895" t="e">
        <f>INDEX(resultados!$A$2:$ZZ$956, 889, MATCH($B$3, resultados!$A$1:$ZZ$1, 0))</f>
        <v>#N/A</v>
      </c>
    </row>
    <row r="896" spans="1:3" x14ac:dyDescent="0.3">
      <c r="A896" t="e">
        <f>INDEX(resultados!$A$2:$ZZ$956, 890, MATCH($B$1, resultados!$A$1:$ZZ$1, 0))</f>
        <v>#N/A</v>
      </c>
      <c r="B896" t="e">
        <f>INDEX(resultados!$A$2:$ZZ$956, 890, MATCH($B$2, resultados!$A$1:$ZZ$1, 0))</f>
        <v>#N/A</v>
      </c>
      <c r="C896" t="e">
        <f>INDEX(resultados!$A$2:$ZZ$956, 890, MATCH($B$3, resultados!$A$1:$ZZ$1, 0))</f>
        <v>#N/A</v>
      </c>
    </row>
    <row r="897" spans="1:3" x14ac:dyDescent="0.3">
      <c r="A897" t="e">
        <f>INDEX(resultados!$A$2:$ZZ$956, 891, MATCH($B$1, resultados!$A$1:$ZZ$1, 0))</f>
        <v>#N/A</v>
      </c>
      <c r="B897" t="e">
        <f>INDEX(resultados!$A$2:$ZZ$956, 891, MATCH($B$2, resultados!$A$1:$ZZ$1, 0))</f>
        <v>#N/A</v>
      </c>
      <c r="C897" t="e">
        <f>INDEX(resultados!$A$2:$ZZ$956, 891, MATCH($B$3, resultados!$A$1:$ZZ$1, 0))</f>
        <v>#N/A</v>
      </c>
    </row>
    <row r="898" spans="1:3" x14ac:dyDescent="0.3">
      <c r="A898" t="e">
        <f>INDEX(resultados!$A$2:$ZZ$956, 892, MATCH($B$1, resultados!$A$1:$ZZ$1, 0))</f>
        <v>#N/A</v>
      </c>
      <c r="B898" t="e">
        <f>INDEX(resultados!$A$2:$ZZ$956, 892, MATCH($B$2, resultados!$A$1:$ZZ$1, 0))</f>
        <v>#N/A</v>
      </c>
      <c r="C898" t="e">
        <f>INDEX(resultados!$A$2:$ZZ$956, 892, MATCH($B$3, resultados!$A$1:$ZZ$1, 0))</f>
        <v>#N/A</v>
      </c>
    </row>
    <row r="899" spans="1:3" x14ac:dyDescent="0.3">
      <c r="A899" t="e">
        <f>INDEX(resultados!$A$2:$ZZ$956, 893, MATCH($B$1, resultados!$A$1:$ZZ$1, 0))</f>
        <v>#N/A</v>
      </c>
      <c r="B899" t="e">
        <f>INDEX(resultados!$A$2:$ZZ$956, 893, MATCH($B$2, resultados!$A$1:$ZZ$1, 0))</f>
        <v>#N/A</v>
      </c>
      <c r="C899" t="e">
        <f>INDEX(resultados!$A$2:$ZZ$956, 893, MATCH($B$3, resultados!$A$1:$ZZ$1, 0))</f>
        <v>#N/A</v>
      </c>
    </row>
    <row r="900" spans="1:3" x14ac:dyDescent="0.3">
      <c r="A900" t="e">
        <f>INDEX(resultados!$A$2:$ZZ$956, 894, MATCH($B$1, resultados!$A$1:$ZZ$1, 0))</f>
        <v>#N/A</v>
      </c>
      <c r="B900" t="e">
        <f>INDEX(resultados!$A$2:$ZZ$956, 894, MATCH($B$2, resultados!$A$1:$ZZ$1, 0))</f>
        <v>#N/A</v>
      </c>
      <c r="C900" t="e">
        <f>INDEX(resultados!$A$2:$ZZ$956, 894, MATCH($B$3, resultados!$A$1:$ZZ$1, 0))</f>
        <v>#N/A</v>
      </c>
    </row>
    <row r="901" spans="1:3" x14ac:dyDescent="0.3">
      <c r="A901" t="e">
        <f>INDEX(resultados!$A$2:$ZZ$956, 895, MATCH($B$1, resultados!$A$1:$ZZ$1, 0))</f>
        <v>#N/A</v>
      </c>
      <c r="B901" t="e">
        <f>INDEX(resultados!$A$2:$ZZ$956, 895, MATCH($B$2, resultados!$A$1:$ZZ$1, 0))</f>
        <v>#N/A</v>
      </c>
      <c r="C901" t="e">
        <f>INDEX(resultados!$A$2:$ZZ$956, 895, MATCH($B$3, resultados!$A$1:$ZZ$1, 0))</f>
        <v>#N/A</v>
      </c>
    </row>
    <row r="902" spans="1:3" x14ac:dyDescent="0.3">
      <c r="A902" t="e">
        <f>INDEX(resultados!$A$2:$ZZ$956, 896, MATCH($B$1, resultados!$A$1:$ZZ$1, 0))</f>
        <v>#N/A</v>
      </c>
      <c r="B902" t="e">
        <f>INDEX(resultados!$A$2:$ZZ$956, 896, MATCH($B$2, resultados!$A$1:$ZZ$1, 0))</f>
        <v>#N/A</v>
      </c>
      <c r="C902" t="e">
        <f>INDEX(resultados!$A$2:$ZZ$956, 896, MATCH($B$3, resultados!$A$1:$ZZ$1, 0))</f>
        <v>#N/A</v>
      </c>
    </row>
    <row r="903" spans="1:3" x14ac:dyDescent="0.3">
      <c r="A903" t="e">
        <f>INDEX(resultados!$A$2:$ZZ$956, 897, MATCH($B$1, resultados!$A$1:$ZZ$1, 0))</f>
        <v>#N/A</v>
      </c>
      <c r="B903" t="e">
        <f>INDEX(resultados!$A$2:$ZZ$956, 897, MATCH($B$2, resultados!$A$1:$ZZ$1, 0))</f>
        <v>#N/A</v>
      </c>
      <c r="C903" t="e">
        <f>INDEX(resultados!$A$2:$ZZ$956, 897, MATCH($B$3, resultados!$A$1:$ZZ$1, 0))</f>
        <v>#N/A</v>
      </c>
    </row>
    <row r="904" spans="1:3" x14ac:dyDescent="0.3">
      <c r="A904" t="e">
        <f>INDEX(resultados!$A$2:$ZZ$956, 898, MATCH($B$1, resultados!$A$1:$ZZ$1, 0))</f>
        <v>#N/A</v>
      </c>
      <c r="B904" t="e">
        <f>INDEX(resultados!$A$2:$ZZ$956, 898, MATCH($B$2, resultados!$A$1:$ZZ$1, 0))</f>
        <v>#N/A</v>
      </c>
      <c r="C904" t="e">
        <f>INDEX(resultados!$A$2:$ZZ$956, 898, MATCH($B$3, resultados!$A$1:$ZZ$1, 0))</f>
        <v>#N/A</v>
      </c>
    </row>
    <row r="905" spans="1:3" x14ac:dyDescent="0.3">
      <c r="A905" t="e">
        <f>INDEX(resultados!$A$2:$ZZ$956, 899, MATCH($B$1, resultados!$A$1:$ZZ$1, 0))</f>
        <v>#N/A</v>
      </c>
      <c r="B905" t="e">
        <f>INDEX(resultados!$A$2:$ZZ$956, 899, MATCH($B$2, resultados!$A$1:$ZZ$1, 0))</f>
        <v>#N/A</v>
      </c>
      <c r="C905" t="e">
        <f>INDEX(resultados!$A$2:$ZZ$956, 899, MATCH($B$3, resultados!$A$1:$ZZ$1, 0))</f>
        <v>#N/A</v>
      </c>
    </row>
    <row r="906" spans="1:3" x14ac:dyDescent="0.3">
      <c r="A906" t="e">
        <f>INDEX(resultados!$A$2:$ZZ$956, 900, MATCH($B$1, resultados!$A$1:$ZZ$1, 0))</f>
        <v>#N/A</v>
      </c>
      <c r="B906" t="e">
        <f>INDEX(resultados!$A$2:$ZZ$956, 900, MATCH($B$2, resultados!$A$1:$ZZ$1, 0))</f>
        <v>#N/A</v>
      </c>
      <c r="C906" t="e">
        <f>INDEX(resultados!$A$2:$ZZ$956, 900, MATCH($B$3, resultados!$A$1:$ZZ$1, 0))</f>
        <v>#N/A</v>
      </c>
    </row>
    <row r="907" spans="1:3" x14ac:dyDescent="0.3">
      <c r="A907" t="e">
        <f>INDEX(resultados!$A$2:$ZZ$956, 901, MATCH($B$1, resultados!$A$1:$ZZ$1, 0))</f>
        <v>#N/A</v>
      </c>
      <c r="B907" t="e">
        <f>INDEX(resultados!$A$2:$ZZ$956, 901, MATCH($B$2, resultados!$A$1:$ZZ$1, 0))</f>
        <v>#N/A</v>
      </c>
      <c r="C907" t="e">
        <f>INDEX(resultados!$A$2:$ZZ$956, 901, MATCH($B$3, resultados!$A$1:$ZZ$1, 0))</f>
        <v>#N/A</v>
      </c>
    </row>
    <row r="908" spans="1:3" x14ac:dyDescent="0.3">
      <c r="A908" t="e">
        <f>INDEX(resultados!$A$2:$ZZ$956, 902, MATCH($B$1, resultados!$A$1:$ZZ$1, 0))</f>
        <v>#N/A</v>
      </c>
      <c r="B908" t="e">
        <f>INDEX(resultados!$A$2:$ZZ$956, 902, MATCH($B$2, resultados!$A$1:$ZZ$1, 0))</f>
        <v>#N/A</v>
      </c>
      <c r="C908" t="e">
        <f>INDEX(resultados!$A$2:$ZZ$956, 902, MATCH($B$3, resultados!$A$1:$ZZ$1, 0))</f>
        <v>#N/A</v>
      </c>
    </row>
    <row r="909" spans="1:3" x14ac:dyDescent="0.3">
      <c r="A909" t="e">
        <f>INDEX(resultados!$A$2:$ZZ$956, 903, MATCH($B$1, resultados!$A$1:$ZZ$1, 0))</f>
        <v>#N/A</v>
      </c>
      <c r="B909" t="e">
        <f>INDEX(resultados!$A$2:$ZZ$956, 903, MATCH($B$2, resultados!$A$1:$ZZ$1, 0))</f>
        <v>#N/A</v>
      </c>
      <c r="C909" t="e">
        <f>INDEX(resultados!$A$2:$ZZ$956, 903, MATCH($B$3, resultados!$A$1:$ZZ$1, 0))</f>
        <v>#N/A</v>
      </c>
    </row>
    <row r="910" spans="1:3" x14ac:dyDescent="0.3">
      <c r="A910" t="e">
        <f>INDEX(resultados!$A$2:$ZZ$956, 904, MATCH($B$1, resultados!$A$1:$ZZ$1, 0))</f>
        <v>#N/A</v>
      </c>
      <c r="B910" t="e">
        <f>INDEX(resultados!$A$2:$ZZ$956, 904, MATCH($B$2, resultados!$A$1:$ZZ$1, 0))</f>
        <v>#N/A</v>
      </c>
      <c r="C910" t="e">
        <f>INDEX(resultados!$A$2:$ZZ$956, 904, MATCH($B$3, resultados!$A$1:$ZZ$1, 0))</f>
        <v>#N/A</v>
      </c>
    </row>
    <row r="911" spans="1:3" x14ac:dyDescent="0.3">
      <c r="A911" t="e">
        <f>INDEX(resultados!$A$2:$ZZ$956, 905, MATCH($B$1, resultados!$A$1:$ZZ$1, 0))</f>
        <v>#N/A</v>
      </c>
      <c r="B911" t="e">
        <f>INDEX(resultados!$A$2:$ZZ$956, 905, MATCH($B$2, resultados!$A$1:$ZZ$1, 0))</f>
        <v>#N/A</v>
      </c>
      <c r="C911" t="e">
        <f>INDEX(resultados!$A$2:$ZZ$956, 905, MATCH($B$3, resultados!$A$1:$ZZ$1, 0))</f>
        <v>#N/A</v>
      </c>
    </row>
    <row r="912" spans="1:3" x14ac:dyDescent="0.3">
      <c r="A912" t="e">
        <f>INDEX(resultados!$A$2:$ZZ$956, 906, MATCH($B$1, resultados!$A$1:$ZZ$1, 0))</f>
        <v>#N/A</v>
      </c>
      <c r="B912" t="e">
        <f>INDEX(resultados!$A$2:$ZZ$956, 906, MATCH($B$2, resultados!$A$1:$ZZ$1, 0))</f>
        <v>#N/A</v>
      </c>
      <c r="C912" t="e">
        <f>INDEX(resultados!$A$2:$ZZ$956, 906, MATCH($B$3, resultados!$A$1:$ZZ$1, 0))</f>
        <v>#N/A</v>
      </c>
    </row>
    <row r="913" spans="1:3" x14ac:dyDescent="0.3">
      <c r="A913" t="e">
        <f>INDEX(resultados!$A$2:$ZZ$956, 907, MATCH($B$1, resultados!$A$1:$ZZ$1, 0))</f>
        <v>#N/A</v>
      </c>
      <c r="B913" t="e">
        <f>INDEX(resultados!$A$2:$ZZ$956, 907, MATCH($B$2, resultados!$A$1:$ZZ$1, 0))</f>
        <v>#N/A</v>
      </c>
      <c r="C913" t="e">
        <f>INDEX(resultados!$A$2:$ZZ$956, 907, MATCH($B$3, resultados!$A$1:$ZZ$1, 0))</f>
        <v>#N/A</v>
      </c>
    </row>
    <row r="914" spans="1:3" x14ac:dyDescent="0.3">
      <c r="A914" t="e">
        <f>INDEX(resultados!$A$2:$ZZ$956, 908, MATCH($B$1, resultados!$A$1:$ZZ$1, 0))</f>
        <v>#N/A</v>
      </c>
      <c r="B914" t="e">
        <f>INDEX(resultados!$A$2:$ZZ$956, 908, MATCH($B$2, resultados!$A$1:$ZZ$1, 0))</f>
        <v>#N/A</v>
      </c>
      <c r="C914" t="e">
        <f>INDEX(resultados!$A$2:$ZZ$956, 908, MATCH($B$3, resultados!$A$1:$ZZ$1, 0))</f>
        <v>#N/A</v>
      </c>
    </row>
    <row r="915" spans="1:3" x14ac:dyDescent="0.3">
      <c r="A915" t="e">
        <f>INDEX(resultados!$A$2:$ZZ$956, 909, MATCH($B$1, resultados!$A$1:$ZZ$1, 0))</f>
        <v>#N/A</v>
      </c>
      <c r="B915" t="e">
        <f>INDEX(resultados!$A$2:$ZZ$956, 909, MATCH($B$2, resultados!$A$1:$ZZ$1, 0))</f>
        <v>#N/A</v>
      </c>
      <c r="C915" t="e">
        <f>INDEX(resultados!$A$2:$ZZ$956, 909, MATCH($B$3, resultados!$A$1:$ZZ$1, 0))</f>
        <v>#N/A</v>
      </c>
    </row>
    <row r="916" spans="1:3" x14ac:dyDescent="0.3">
      <c r="A916" t="e">
        <f>INDEX(resultados!$A$2:$ZZ$956, 910, MATCH($B$1, resultados!$A$1:$ZZ$1, 0))</f>
        <v>#N/A</v>
      </c>
      <c r="B916" t="e">
        <f>INDEX(resultados!$A$2:$ZZ$956, 910, MATCH($B$2, resultados!$A$1:$ZZ$1, 0))</f>
        <v>#N/A</v>
      </c>
      <c r="C916" t="e">
        <f>INDEX(resultados!$A$2:$ZZ$956, 910, MATCH($B$3, resultados!$A$1:$ZZ$1, 0))</f>
        <v>#N/A</v>
      </c>
    </row>
    <row r="917" spans="1:3" x14ac:dyDescent="0.3">
      <c r="A917" t="e">
        <f>INDEX(resultados!$A$2:$ZZ$956, 911, MATCH($B$1, resultados!$A$1:$ZZ$1, 0))</f>
        <v>#N/A</v>
      </c>
      <c r="B917" t="e">
        <f>INDEX(resultados!$A$2:$ZZ$956, 911, MATCH($B$2, resultados!$A$1:$ZZ$1, 0))</f>
        <v>#N/A</v>
      </c>
      <c r="C917" t="e">
        <f>INDEX(resultados!$A$2:$ZZ$956, 911, MATCH($B$3, resultados!$A$1:$ZZ$1, 0))</f>
        <v>#N/A</v>
      </c>
    </row>
    <row r="918" spans="1:3" x14ac:dyDescent="0.3">
      <c r="A918" t="e">
        <f>INDEX(resultados!$A$2:$ZZ$956, 912, MATCH($B$1, resultados!$A$1:$ZZ$1, 0))</f>
        <v>#N/A</v>
      </c>
      <c r="B918" t="e">
        <f>INDEX(resultados!$A$2:$ZZ$956, 912, MATCH($B$2, resultados!$A$1:$ZZ$1, 0))</f>
        <v>#N/A</v>
      </c>
      <c r="C918" t="e">
        <f>INDEX(resultados!$A$2:$ZZ$956, 912, MATCH($B$3, resultados!$A$1:$ZZ$1, 0))</f>
        <v>#N/A</v>
      </c>
    </row>
    <row r="919" spans="1:3" x14ac:dyDescent="0.3">
      <c r="A919" t="e">
        <f>INDEX(resultados!$A$2:$ZZ$956, 913, MATCH($B$1, resultados!$A$1:$ZZ$1, 0))</f>
        <v>#N/A</v>
      </c>
      <c r="B919" t="e">
        <f>INDEX(resultados!$A$2:$ZZ$956, 913, MATCH($B$2, resultados!$A$1:$ZZ$1, 0))</f>
        <v>#N/A</v>
      </c>
      <c r="C919" t="e">
        <f>INDEX(resultados!$A$2:$ZZ$956, 913, MATCH($B$3, resultados!$A$1:$ZZ$1, 0))</f>
        <v>#N/A</v>
      </c>
    </row>
    <row r="920" spans="1:3" x14ac:dyDescent="0.3">
      <c r="A920" t="e">
        <f>INDEX(resultados!$A$2:$ZZ$956, 914, MATCH($B$1, resultados!$A$1:$ZZ$1, 0))</f>
        <v>#N/A</v>
      </c>
      <c r="B920" t="e">
        <f>INDEX(resultados!$A$2:$ZZ$956, 914, MATCH($B$2, resultados!$A$1:$ZZ$1, 0))</f>
        <v>#N/A</v>
      </c>
      <c r="C920" t="e">
        <f>INDEX(resultados!$A$2:$ZZ$956, 914, MATCH($B$3, resultados!$A$1:$ZZ$1, 0))</f>
        <v>#N/A</v>
      </c>
    </row>
    <row r="921" spans="1:3" x14ac:dyDescent="0.3">
      <c r="A921" t="e">
        <f>INDEX(resultados!$A$2:$ZZ$956, 915, MATCH($B$1, resultados!$A$1:$ZZ$1, 0))</f>
        <v>#N/A</v>
      </c>
      <c r="B921" t="e">
        <f>INDEX(resultados!$A$2:$ZZ$956, 915, MATCH($B$2, resultados!$A$1:$ZZ$1, 0))</f>
        <v>#N/A</v>
      </c>
      <c r="C921" t="e">
        <f>INDEX(resultados!$A$2:$ZZ$956, 915, MATCH($B$3, resultados!$A$1:$ZZ$1, 0))</f>
        <v>#N/A</v>
      </c>
    </row>
    <row r="922" spans="1:3" x14ac:dyDescent="0.3">
      <c r="A922" t="e">
        <f>INDEX(resultados!$A$2:$ZZ$956, 916, MATCH($B$1, resultados!$A$1:$ZZ$1, 0))</f>
        <v>#N/A</v>
      </c>
      <c r="B922" t="e">
        <f>INDEX(resultados!$A$2:$ZZ$956, 916, MATCH($B$2, resultados!$A$1:$ZZ$1, 0))</f>
        <v>#N/A</v>
      </c>
      <c r="C922" t="e">
        <f>INDEX(resultados!$A$2:$ZZ$956, 916, MATCH($B$3, resultados!$A$1:$ZZ$1, 0))</f>
        <v>#N/A</v>
      </c>
    </row>
    <row r="923" spans="1:3" x14ac:dyDescent="0.3">
      <c r="A923" t="e">
        <f>INDEX(resultados!$A$2:$ZZ$956, 917, MATCH($B$1, resultados!$A$1:$ZZ$1, 0))</f>
        <v>#N/A</v>
      </c>
      <c r="B923" t="e">
        <f>INDEX(resultados!$A$2:$ZZ$956, 917, MATCH($B$2, resultados!$A$1:$ZZ$1, 0))</f>
        <v>#N/A</v>
      </c>
      <c r="C923" t="e">
        <f>INDEX(resultados!$A$2:$ZZ$956, 917, MATCH($B$3, resultados!$A$1:$ZZ$1, 0))</f>
        <v>#N/A</v>
      </c>
    </row>
    <row r="924" spans="1:3" x14ac:dyDescent="0.3">
      <c r="A924" t="e">
        <f>INDEX(resultados!$A$2:$ZZ$956, 918, MATCH($B$1, resultados!$A$1:$ZZ$1, 0))</f>
        <v>#N/A</v>
      </c>
      <c r="B924" t="e">
        <f>INDEX(resultados!$A$2:$ZZ$956, 918, MATCH($B$2, resultados!$A$1:$ZZ$1, 0))</f>
        <v>#N/A</v>
      </c>
      <c r="C924" t="e">
        <f>INDEX(resultados!$A$2:$ZZ$956, 918, MATCH($B$3, resultados!$A$1:$ZZ$1, 0))</f>
        <v>#N/A</v>
      </c>
    </row>
    <row r="925" spans="1:3" x14ac:dyDescent="0.3">
      <c r="A925" t="e">
        <f>INDEX(resultados!$A$2:$ZZ$956, 919, MATCH($B$1, resultados!$A$1:$ZZ$1, 0))</f>
        <v>#N/A</v>
      </c>
      <c r="B925" t="e">
        <f>INDEX(resultados!$A$2:$ZZ$956, 919, MATCH($B$2, resultados!$A$1:$ZZ$1, 0))</f>
        <v>#N/A</v>
      </c>
      <c r="C925" t="e">
        <f>INDEX(resultados!$A$2:$ZZ$956, 919, MATCH($B$3, resultados!$A$1:$ZZ$1, 0))</f>
        <v>#N/A</v>
      </c>
    </row>
    <row r="926" spans="1:3" x14ac:dyDescent="0.3">
      <c r="A926" t="e">
        <f>INDEX(resultados!$A$2:$ZZ$956, 920, MATCH($B$1, resultados!$A$1:$ZZ$1, 0))</f>
        <v>#N/A</v>
      </c>
      <c r="B926" t="e">
        <f>INDEX(resultados!$A$2:$ZZ$956, 920, MATCH($B$2, resultados!$A$1:$ZZ$1, 0))</f>
        <v>#N/A</v>
      </c>
      <c r="C926" t="e">
        <f>INDEX(resultados!$A$2:$ZZ$956, 920, MATCH($B$3, resultados!$A$1:$ZZ$1, 0))</f>
        <v>#N/A</v>
      </c>
    </row>
    <row r="927" spans="1:3" x14ac:dyDescent="0.3">
      <c r="A927" t="e">
        <f>INDEX(resultados!$A$2:$ZZ$956, 921, MATCH($B$1, resultados!$A$1:$ZZ$1, 0))</f>
        <v>#N/A</v>
      </c>
      <c r="B927" t="e">
        <f>INDEX(resultados!$A$2:$ZZ$956, 921, MATCH($B$2, resultados!$A$1:$ZZ$1, 0))</f>
        <v>#N/A</v>
      </c>
      <c r="C927" t="e">
        <f>INDEX(resultados!$A$2:$ZZ$956, 921, MATCH($B$3, resultados!$A$1:$ZZ$1, 0))</f>
        <v>#N/A</v>
      </c>
    </row>
    <row r="928" spans="1:3" x14ac:dyDescent="0.3">
      <c r="A928" t="e">
        <f>INDEX(resultados!$A$2:$ZZ$956, 922, MATCH($B$1, resultados!$A$1:$ZZ$1, 0))</f>
        <v>#N/A</v>
      </c>
      <c r="B928" t="e">
        <f>INDEX(resultados!$A$2:$ZZ$956, 922, MATCH($B$2, resultados!$A$1:$ZZ$1, 0))</f>
        <v>#N/A</v>
      </c>
      <c r="C928" t="e">
        <f>INDEX(resultados!$A$2:$ZZ$956, 922, MATCH($B$3, resultados!$A$1:$ZZ$1, 0))</f>
        <v>#N/A</v>
      </c>
    </row>
    <row r="929" spans="1:3" x14ac:dyDescent="0.3">
      <c r="A929" t="e">
        <f>INDEX(resultados!$A$2:$ZZ$956, 923, MATCH($B$1, resultados!$A$1:$ZZ$1, 0))</f>
        <v>#N/A</v>
      </c>
      <c r="B929" t="e">
        <f>INDEX(resultados!$A$2:$ZZ$956, 923, MATCH($B$2, resultados!$A$1:$ZZ$1, 0))</f>
        <v>#N/A</v>
      </c>
      <c r="C929" t="e">
        <f>INDEX(resultados!$A$2:$ZZ$956, 923, MATCH($B$3, resultados!$A$1:$ZZ$1, 0))</f>
        <v>#N/A</v>
      </c>
    </row>
    <row r="930" spans="1:3" x14ac:dyDescent="0.3">
      <c r="A930" t="e">
        <f>INDEX(resultados!$A$2:$ZZ$956, 924, MATCH($B$1, resultados!$A$1:$ZZ$1, 0))</f>
        <v>#N/A</v>
      </c>
      <c r="B930" t="e">
        <f>INDEX(resultados!$A$2:$ZZ$956, 924, MATCH($B$2, resultados!$A$1:$ZZ$1, 0))</f>
        <v>#N/A</v>
      </c>
      <c r="C930" t="e">
        <f>INDEX(resultados!$A$2:$ZZ$956, 924, MATCH($B$3, resultados!$A$1:$ZZ$1, 0))</f>
        <v>#N/A</v>
      </c>
    </row>
    <row r="931" spans="1:3" x14ac:dyDescent="0.3">
      <c r="A931" t="e">
        <f>INDEX(resultados!$A$2:$ZZ$956, 925, MATCH($B$1, resultados!$A$1:$ZZ$1, 0))</f>
        <v>#N/A</v>
      </c>
      <c r="B931" t="e">
        <f>INDEX(resultados!$A$2:$ZZ$956, 925, MATCH($B$2, resultados!$A$1:$ZZ$1, 0))</f>
        <v>#N/A</v>
      </c>
      <c r="C931" t="e">
        <f>INDEX(resultados!$A$2:$ZZ$956, 925, MATCH($B$3, resultados!$A$1:$ZZ$1, 0))</f>
        <v>#N/A</v>
      </c>
    </row>
    <row r="932" spans="1:3" x14ac:dyDescent="0.3">
      <c r="A932" t="e">
        <f>INDEX(resultados!$A$2:$ZZ$956, 926, MATCH($B$1, resultados!$A$1:$ZZ$1, 0))</f>
        <v>#N/A</v>
      </c>
      <c r="B932" t="e">
        <f>INDEX(resultados!$A$2:$ZZ$956, 926, MATCH($B$2, resultados!$A$1:$ZZ$1, 0))</f>
        <v>#N/A</v>
      </c>
      <c r="C932" t="e">
        <f>INDEX(resultados!$A$2:$ZZ$956, 926, MATCH($B$3, resultados!$A$1:$ZZ$1, 0))</f>
        <v>#N/A</v>
      </c>
    </row>
    <row r="933" spans="1:3" x14ac:dyDescent="0.3">
      <c r="A933" t="e">
        <f>INDEX(resultados!$A$2:$ZZ$956, 927, MATCH($B$1, resultados!$A$1:$ZZ$1, 0))</f>
        <v>#N/A</v>
      </c>
      <c r="B933" t="e">
        <f>INDEX(resultados!$A$2:$ZZ$956, 927, MATCH($B$2, resultados!$A$1:$ZZ$1, 0))</f>
        <v>#N/A</v>
      </c>
      <c r="C933" t="e">
        <f>INDEX(resultados!$A$2:$ZZ$956, 927, MATCH($B$3, resultados!$A$1:$ZZ$1, 0))</f>
        <v>#N/A</v>
      </c>
    </row>
    <row r="934" spans="1:3" x14ac:dyDescent="0.3">
      <c r="A934" t="e">
        <f>INDEX(resultados!$A$2:$ZZ$956, 928, MATCH($B$1, resultados!$A$1:$ZZ$1, 0))</f>
        <v>#N/A</v>
      </c>
      <c r="B934" t="e">
        <f>INDEX(resultados!$A$2:$ZZ$956, 928, MATCH($B$2, resultados!$A$1:$ZZ$1, 0))</f>
        <v>#N/A</v>
      </c>
      <c r="C934" t="e">
        <f>INDEX(resultados!$A$2:$ZZ$956, 928, MATCH($B$3, resultados!$A$1:$ZZ$1, 0))</f>
        <v>#N/A</v>
      </c>
    </row>
    <row r="935" spans="1:3" x14ac:dyDescent="0.3">
      <c r="A935" t="e">
        <f>INDEX(resultados!$A$2:$ZZ$956, 929, MATCH($B$1, resultados!$A$1:$ZZ$1, 0))</f>
        <v>#N/A</v>
      </c>
      <c r="B935" t="e">
        <f>INDEX(resultados!$A$2:$ZZ$956, 929, MATCH($B$2, resultados!$A$1:$ZZ$1, 0))</f>
        <v>#N/A</v>
      </c>
      <c r="C935" t="e">
        <f>INDEX(resultados!$A$2:$ZZ$956, 929, MATCH($B$3, resultados!$A$1:$ZZ$1, 0))</f>
        <v>#N/A</v>
      </c>
    </row>
    <row r="936" spans="1:3" x14ac:dyDescent="0.3">
      <c r="A936" t="e">
        <f>INDEX(resultados!$A$2:$ZZ$956, 930, MATCH($B$1, resultados!$A$1:$ZZ$1, 0))</f>
        <v>#N/A</v>
      </c>
      <c r="B936" t="e">
        <f>INDEX(resultados!$A$2:$ZZ$956, 930, MATCH($B$2, resultados!$A$1:$ZZ$1, 0))</f>
        <v>#N/A</v>
      </c>
      <c r="C936" t="e">
        <f>INDEX(resultados!$A$2:$ZZ$956, 930, MATCH($B$3, resultados!$A$1:$ZZ$1, 0))</f>
        <v>#N/A</v>
      </c>
    </row>
    <row r="937" spans="1:3" x14ac:dyDescent="0.3">
      <c r="A937" t="e">
        <f>INDEX(resultados!$A$2:$ZZ$956, 931, MATCH($B$1, resultados!$A$1:$ZZ$1, 0))</f>
        <v>#N/A</v>
      </c>
      <c r="B937" t="e">
        <f>INDEX(resultados!$A$2:$ZZ$956, 931, MATCH($B$2, resultados!$A$1:$ZZ$1, 0))</f>
        <v>#N/A</v>
      </c>
      <c r="C937" t="e">
        <f>INDEX(resultados!$A$2:$ZZ$956, 931, MATCH($B$3, resultados!$A$1:$ZZ$1, 0))</f>
        <v>#N/A</v>
      </c>
    </row>
    <row r="938" spans="1:3" x14ac:dyDescent="0.3">
      <c r="A938" t="e">
        <f>INDEX(resultados!$A$2:$ZZ$956, 932, MATCH($B$1, resultados!$A$1:$ZZ$1, 0))</f>
        <v>#N/A</v>
      </c>
      <c r="B938" t="e">
        <f>INDEX(resultados!$A$2:$ZZ$956, 932, MATCH($B$2, resultados!$A$1:$ZZ$1, 0))</f>
        <v>#N/A</v>
      </c>
      <c r="C938" t="e">
        <f>INDEX(resultados!$A$2:$ZZ$956, 932, MATCH($B$3, resultados!$A$1:$ZZ$1, 0))</f>
        <v>#N/A</v>
      </c>
    </row>
    <row r="939" spans="1:3" x14ac:dyDescent="0.3">
      <c r="A939" t="e">
        <f>INDEX(resultados!$A$2:$ZZ$956, 933, MATCH($B$1, resultados!$A$1:$ZZ$1, 0))</f>
        <v>#N/A</v>
      </c>
      <c r="B939" t="e">
        <f>INDEX(resultados!$A$2:$ZZ$956, 933, MATCH($B$2, resultados!$A$1:$ZZ$1, 0))</f>
        <v>#N/A</v>
      </c>
      <c r="C939" t="e">
        <f>INDEX(resultados!$A$2:$ZZ$956, 933, MATCH($B$3, resultados!$A$1:$ZZ$1, 0))</f>
        <v>#N/A</v>
      </c>
    </row>
    <row r="940" spans="1:3" x14ac:dyDescent="0.3">
      <c r="A940" t="e">
        <f>INDEX(resultados!$A$2:$ZZ$956, 934, MATCH($B$1, resultados!$A$1:$ZZ$1, 0))</f>
        <v>#N/A</v>
      </c>
      <c r="B940" t="e">
        <f>INDEX(resultados!$A$2:$ZZ$956, 934, MATCH($B$2, resultados!$A$1:$ZZ$1, 0))</f>
        <v>#N/A</v>
      </c>
      <c r="C940" t="e">
        <f>INDEX(resultados!$A$2:$ZZ$956, 934, MATCH($B$3, resultados!$A$1:$ZZ$1, 0))</f>
        <v>#N/A</v>
      </c>
    </row>
    <row r="941" spans="1:3" x14ac:dyDescent="0.3">
      <c r="A941" t="e">
        <f>INDEX(resultados!$A$2:$ZZ$956, 935, MATCH($B$1, resultados!$A$1:$ZZ$1, 0))</f>
        <v>#N/A</v>
      </c>
      <c r="B941" t="e">
        <f>INDEX(resultados!$A$2:$ZZ$956, 935, MATCH($B$2, resultados!$A$1:$ZZ$1, 0))</f>
        <v>#N/A</v>
      </c>
      <c r="C941" t="e">
        <f>INDEX(resultados!$A$2:$ZZ$956, 935, MATCH($B$3, resultados!$A$1:$ZZ$1, 0))</f>
        <v>#N/A</v>
      </c>
    </row>
    <row r="942" spans="1:3" x14ac:dyDescent="0.3">
      <c r="A942" t="e">
        <f>INDEX(resultados!$A$2:$ZZ$956, 936, MATCH($B$1, resultados!$A$1:$ZZ$1, 0))</f>
        <v>#N/A</v>
      </c>
      <c r="B942" t="e">
        <f>INDEX(resultados!$A$2:$ZZ$956, 936, MATCH($B$2, resultados!$A$1:$ZZ$1, 0))</f>
        <v>#N/A</v>
      </c>
      <c r="C942" t="e">
        <f>INDEX(resultados!$A$2:$ZZ$956, 936, MATCH($B$3, resultados!$A$1:$ZZ$1, 0))</f>
        <v>#N/A</v>
      </c>
    </row>
    <row r="943" spans="1:3" x14ac:dyDescent="0.3">
      <c r="A943" t="e">
        <f>INDEX(resultados!$A$2:$ZZ$956, 937, MATCH($B$1, resultados!$A$1:$ZZ$1, 0))</f>
        <v>#N/A</v>
      </c>
      <c r="B943" t="e">
        <f>INDEX(resultados!$A$2:$ZZ$956, 937, MATCH($B$2, resultados!$A$1:$ZZ$1, 0))</f>
        <v>#N/A</v>
      </c>
      <c r="C943" t="e">
        <f>INDEX(resultados!$A$2:$ZZ$956, 937, MATCH($B$3, resultados!$A$1:$ZZ$1, 0))</f>
        <v>#N/A</v>
      </c>
    </row>
    <row r="944" spans="1:3" x14ac:dyDescent="0.3">
      <c r="A944" t="e">
        <f>INDEX(resultados!$A$2:$ZZ$956, 938, MATCH($B$1, resultados!$A$1:$ZZ$1, 0))</f>
        <v>#N/A</v>
      </c>
      <c r="B944" t="e">
        <f>INDEX(resultados!$A$2:$ZZ$956, 938, MATCH($B$2, resultados!$A$1:$ZZ$1, 0))</f>
        <v>#N/A</v>
      </c>
      <c r="C944" t="e">
        <f>INDEX(resultados!$A$2:$ZZ$956, 938, MATCH($B$3, resultados!$A$1:$ZZ$1, 0))</f>
        <v>#N/A</v>
      </c>
    </row>
    <row r="945" spans="1:3" x14ac:dyDescent="0.3">
      <c r="A945" t="e">
        <f>INDEX(resultados!$A$2:$ZZ$956, 939, MATCH($B$1, resultados!$A$1:$ZZ$1, 0))</f>
        <v>#N/A</v>
      </c>
      <c r="B945" t="e">
        <f>INDEX(resultados!$A$2:$ZZ$956, 939, MATCH($B$2, resultados!$A$1:$ZZ$1, 0))</f>
        <v>#N/A</v>
      </c>
      <c r="C945" t="e">
        <f>INDEX(resultados!$A$2:$ZZ$956, 939, MATCH($B$3, resultados!$A$1:$ZZ$1, 0))</f>
        <v>#N/A</v>
      </c>
    </row>
    <row r="946" spans="1:3" x14ac:dyDescent="0.3">
      <c r="A946" t="e">
        <f>INDEX(resultados!$A$2:$ZZ$956, 940, MATCH($B$1, resultados!$A$1:$ZZ$1, 0))</f>
        <v>#N/A</v>
      </c>
      <c r="B946" t="e">
        <f>INDEX(resultados!$A$2:$ZZ$956, 940, MATCH($B$2, resultados!$A$1:$ZZ$1, 0))</f>
        <v>#N/A</v>
      </c>
      <c r="C946" t="e">
        <f>INDEX(resultados!$A$2:$ZZ$956, 940, MATCH($B$3, resultados!$A$1:$ZZ$1, 0))</f>
        <v>#N/A</v>
      </c>
    </row>
    <row r="947" spans="1:3" x14ac:dyDescent="0.3">
      <c r="A947" t="e">
        <f>INDEX(resultados!$A$2:$ZZ$956, 941, MATCH($B$1, resultados!$A$1:$ZZ$1, 0))</f>
        <v>#N/A</v>
      </c>
      <c r="B947" t="e">
        <f>INDEX(resultados!$A$2:$ZZ$956, 941, MATCH($B$2, resultados!$A$1:$ZZ$1, 0))</f>
        <v>#N/A</v>
      </c>
      <c r="C947" t="e">
        <f>INDEX(resultados!$A$2:$ZZ$956, 941, MATCH($B$3, resultados!$A$1:$ZZ$1, 0))</f>
        <v>#N/A</v>
      </c>
    </row>
    <row r="948" spans="1:3" x14ac:dyDescent="0.3">
      <c r="A948" t="e">
        <f>INDEX(resultados!$A$2:$ZZ$956, 942, MATCH($B$1, resultados!$A$1:$ZZ$1, 0))</f>
        <v>#N/A</v>
      </c>
      <c r="B948" t="e">
        <f>INDEX(resultados!$A$2:$ZZ$956, 942, MATCH($B$2, resultados!$A$1:$ZZ$1, 0))</f>
        <v>#N/A</v>
      </c>
      <c r="C948" t="e">
        <f>INDEX(resultados!$A$2:$ZZ$956, 942, MATCH($B$3, resultados!$A$1:$ZZ$1, 0))</f>
        <v>#N/A</v>
      </c>
    </row>
    <row r="949" spans="1:3" x14ac:dyDescent="0.3">
      <c r="A949" t="e">
        <f>INDEX(resultados!$A$2:$ZZ$956, 943, MATCH($B$1, resultados!$A$1:$ZZ$1, 0))</f>
        <v>#N/A</v>
      </c>
      <c r="B949" t="e">
        <f>INDEX(resultados!$A$2:$ZZ$956, 943, MATCH($B$2, resultados!$A$1:$ZZ$1, 0))</f>
        <v>#N/A</v>
      </c>
      <c r="C949" t="e">
        <f>INDEX(resultados!$A$2:$ZZ$956, 943, MATCH($B$3, resultados!$A$1:$ZZ$1, 0))</f>
        <v>#N/A</v>
      </c>
    </row>
    <row r="950" spans="1:3" x14ac:dyDescent="0.3">
      <c r="A950" t="e">
        <f>INDEX(resultados!$A$2:$ZZ$956, 944, MATCH($B$1, resultados!$A$1:$ZZ$1, 0))</f>
        <v>#N/A</v>
      </c>
      <c r="B950" t="e">
        <f>INDEX(resultados!$A$2:$ZZ$956, 944, MATCH($B$2, resultados!$A$1:$ZZ$1, 0))</f>
        <v>#N/A</v>
      </c>
      <c r="C950" t="e">
        <f>INDEX(resultados!$A$2:$ZZ$956, 944, MATCH($B$3, resultados!$A$1:$ZZ$1, 0))</f>
        <v>#N/A</v>
      </c>
    </row>
    <row r="951" spans="1:3" x14ac:dyDescent="0.3">
      <c r="A951" t="e">
        <f>INDEX(resultados!$A$2:$ZZ$956, 945, MATCH($B$1, resultados!$A$1:$ZZ$1, 0))</f>
        <v>#N/A</v>
      </c>
      <c r="B951" t="e">
        <f>INDEX(resultados!$A$2:$ZZ$956, 945, MATCH($B$2, resultados!$A$1:$ZZ$1, 0))</f>
        <v>#N/A</v>
      </c>
      <c r="C951" t="e">
        <f>INDEX(resultados!$A$2:$ZZ$956, 945, MATCH($B$3, resultados!$A$1:$ZZ$1, 0))</f>
        <v>#N/A</v>
      </c>
    </row>
    <row r="952" spans="1:3" x14ac:dyDescent="0.3">
      <c r="A952" t="e">
        <f>INDEX(resultados!$A$2:$ZZ$956, 946, MATCH($B$1, resultados!$A$1:$ZZ$1, 0))</f>
        <v>#N/A</v>
      </c>
      <c r="B952" t="e">
        <f>INDEX(resultados!$A$2:$ZZ$956, 946, MATCH($B$2, resultados!$A$1:$ZZ$1, 0))</f>
        <v>#N/A</v>
      </c>
      <c r="C952" t="e">
        <f>INDEX(resultados!$A$2:$ZZ$956, 946, MATCH($B$3, resultados!$A$1:$ZZ$1, 0))</f>
        <v>#N/A</v>
      </c>
    </row>
    <row r="953" spans="1:3" x14ac:dyDescent="0.3">
      <c r="A953" t="e">
        <f>INDEX(resultados!$A$2:$ZZ$956, 947, MATCH($B$1, resultados!$A$1:$ZZ$1, 0))</f>
        <v>#N/A</v>
      </c>
      <c r="B953" t="e">
        <f>INDEX(resultados!$A$2:$ZZ$956, 947, MATCH($B$2, resultados!$A$1:$ZZ$1, 0))</f>
        <v>#N/A</v>
      </c>
      <c r="C953" t="e">
        <f>INDEX(resultados!$A$2:$ZZ$956, 947, MATCH($B$3, resultados!$A$1:$ZZ$1, 0))</f>
        <v>#N/A</v>
      </c>
    </row>
    <row r="954" spans="1:3" x14ac:dyDescent="0.3">
      <c r="A954" t="e">
        <f>INDEX(resultados!$A$2:$ZZ$956, 948, MATCH($B$1, resultados!$A$1:$ZZ$1, 0))</f>
        <v>#N/A</v>
      </c>
      <c r="B954" t="e">
        <f>INDEX(resultados!$A$2:$ZZ$956, 948, MATCH($B$2, resultados!$A$1:$ZZ$1, 0))</f>
        <v>#N/A</v>
      </c>
      <c r="C954" t="e">
        <f>INDEX(resultados!$A$2:$ZZ$956, 948, MATCH($B$3, resultados!$A$1:$ZZ$1, 0))</f>
        <v>#N/A</v>
      </c>
    </row>
    <row r="955" spans="1:3" x14ac:dyDescent="0.3">
      <c r="A955" t="e">
        <f>INDEX(resultados!$A$2:$ZZ$956, 949, MATCH($B$1, resultados!$A$1:$ZZ$1, 0))</f>
        <v>#N/A</v>
      </c>
      <c r="B955" t="e">
        <f>INDEX(resultados!$A$2:$ZZ$956, 949, MATCH($B$2, resultados!$A$1:$ZZ$1, 0))</f>
        <v>#N/A</v>
      </c>
      <c r="C955" t="e">
        <f>INDEX(resultados!$A$2:$ZZ$956, 949, MATCH($B$3, resultados!$A$1:$ZZ$1, 0))</f>
        <v>#N/A</v>
      </c>
    </row>
    <row r="956" spans="1:3" x14ac:dyDescent="0.3">
      <c r="A956" t="e">
        <f>INDEX(resultados!$A$2:$ZZ$956, 950, MATCH($B$1, resultados!$A$1:$ZZ$1, 0))</f>
        <v>#N/A</v>
      </c>
      <c r="B956" t="e">
        <f>INDEX(resultados!$A$2:$ZZ$956, 950, MATCH($B$2, resultados!$A$1:$ZZ$1, 0))</f>
        <v>#N/A</v>
      </c>
      <c r="C956" t="e">
        <f>INDEX(resultados!$A$2:$ZZ$956, 950, MATCH($B$3, resultados!$A$1:$ZZ$1, 0))</f>
        <v>#N/A</v>
      </c>
    </row>
    <row r="957" spans="1:3" x14ac:dyDescent="0.3">
      <c r="A957" t="e">
        <f>INDEX(resultados!$A$2:$ZZ$956, 951, MATCH($B$1, resultados!$A$1:$ZZ$1, 0))</f>
        <v>#N/A</v>
      </c>
      <c r="B957" t="e">
        <f>INDEX(resultados!$A$2:$ZZ$956, 951, MATCH($B$2, resultados!$A$1:$ZZ$1, 0))</f>
        <v>#N/A</v>
      </c>
      <c r="C957" t="e">
        <f>INDEX(resultados!$A$2:$ZZ$956, 951, MATCH($B$3, resultados!$A$1:$ZZ$1, 0))</f>
        <v>#N/A</v>
      </c>
    </row>
    <row r="958" spans="1:3" x14ac:dyDescent="0.3">
      <c r="A958" t="e">
        <f>INDEX(resultados!$A$2:$ZZ$956, 952, MATCH($B$1, resultados!$A$1:$ZZ$1, 0))</f>
        <v>#N/A</v>
      </c>
      <c r="B958" t="e">
        <f>INDEX(resultados!$A$2:$ZZ$956, 952, MATCH($B$2, resultados!$A$1:$ZZ$1, 0))</f>
        <v>#N/A</v>
      </c>
      <c r="C958" t="e">
        <f>INDEX(resultados!$A$2:$ZZ$956, 952, MATCH($B$3, resultados!$A$1:$ZZ$1, 0))</f>
        <v>#N/A</v>
      </c>
    </row>
    <row r="959" spans="1:3" x14ac:dyDescent="0.3">
      <c r="A959" t="e">
        <f>INDEX(resultados!$A$2:$ZZ$956, 953, MATCH($B$1, resultados!$A$1:$ZZ$1, 0))</f>
        <v>#N/A</v>
      </c>
      <c r="B959" t="e">
        <f>INDEX(resultados!$A$2:$ZZ$956, 953, MATCH($B$2, resultados!$A$1:$ZZ$1, 0))</f>
        <v>#N/A</v>
      </c>
      <c r="C959" t="e">
        <f>INDEX(resultados!$A$2:$ZZ$956, 953, MATCH($B$3, resultados!$A$1:$ZZ$1, 0))</f>
        <v>#N/A</v>
      </c>
    </row>
    <row r="960" spans="1:3" x14ac:dyDescent="0.3">
      <c r="A960" t="e">
        <f>INDEX(resultados!$A$2:$ZZ$956, 954, MATCH($B$1, resultados!$A$1:$ZZ$1, 0))</f>
        <v>#N/A</v>
      </c>
      <c r="B960" t="e">
        <f>INDEX(resultados!$A$2:$ZZ$956, 954, MATCH($B$2, resultados!$A$1:$ZZ$1, 0))</f>
        <v>#N/A</v>
      </c>
      <c r="C960" t="e">
        <f>INDEX(resultados!$A$2:$ZZ$956, 954, MATCH($B$3, resultados!$A$1:$ZZ$1, 0))</f>
        <v>#N/A</v>
      </c>
    </row>
    <row r="961" spans="1:3" x14ac:dyDescent="0.3">
      <c r="A961" t="e">
        <f>INDEX(resultados!$A$2:$ZZ$956, 955, MATCH($B$1, resultados!$A$1:$ZZ$1, 0))</f>
        <v>#N/A</v>
      </c>
      <c r="B961" t="e">
        <f>INDEX(resultados!$A$2:$ZZ$956, 955, MATCH($B$2, resultados!$A$1:$ZZ$1, 0))</f>
        <v>#N/A</v>
      </c>
      <c r="C961" t="e">
        <f>INDEX(resultados!$A$2:$ZZ$956, 955, MATCH($B$3, resultados!$A$1:$ZZ$1, 0))</f>
        <v>#N/A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0000000}">
          <x14:formula1>
            <xm:f>hidden!$A$1:$A$26</xm:f>
          </x14:formula1>
          <xm:sqref>B1:B3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ilha32"/>
  <dimension ref="A1:A2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33</vt:i4>
      </vt:variant>
    </vt:vector>
  </HeadingPairs>
  <TitlesOfParts>
    <vt:vector size="33" baseType="lpstr">
      <vt:lpstr>Resultados Geral</vt:lpstr>
      <vt:lpstr>RESULTADOS_18</vt:lpstr>
      <vt:lpstr>RESULTADOS_26</vt:lpstr>
      <vt:lpstr>RESULTADOS_6</vt:lpstr>
      <vt:lpstr>RESULTADOS_23</vt:lpstr>
      <vt:lpstr>RESULTADOS_4</vt:lpstr>
      <vt:lpstr>RESULTADOS_1</vt:lpstr>
      <vt:lpstr>RESULTADOS_12</vt:lpstr>
      <vt:lpstr>RESULTADOS_16</vt:lpstr>
      <vt:lpstr>RESULTADOS_20</vt:lpstr>
      <vt:lpstr>RESULTADOS_28</vt:lpstr>
      <vt:lpstr>RESULTADOS_0</vt:lpstr>
      <vt:lpstr>RESULTADOS_7</vt:lpstr>
      <vt:lpstr>RESULTADOS_19</vt:lpstr>
      <vt:lpstr>RESULTADOS_10</vt:lpstr>
      <vt:lpstr>RESULTADOS_25</vt:lpstr>
      <vt:lpstr>RESULTADOS_14</vt:lpstr>
      <vt:lpstr>RESULTADOS_21</vt:lpstr>
      <vt:lpstr>RESULTADOS_5</vt:lpstr>
      <vt:lpstr>RESULTADOS_8</vt:lpstr>
      <vt:lpstr>RESULTADOS_3</vt:lpstr>
      <vt:lpstr>RESULTADOS_15</vt:lpstr>
      <vt:lpstr>RESULTADOS_2</vt:lpstr>
      <vt:lpstr>RESULTADOS_22</vt:lpstr>
      <vt:lpstr>RESULTADOS_27</vt:lpstr>
      <vt:lpstr>RESULTADOS_11</vt:lpstr>
      <vt:lpstr>RESULTADOS_24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 Acorinte</cp:lastModifiedBy>
  <dcterms:created xsi:type="dcterms:W3CDTF">2024-09-24T15:27:06Z</dcterms:created>
  <dcterms:modified xsi:type="dcterms:W3CDTF">2024-09-25T17:23:16Z</dcterms:modified>
</cp:coreProperties>
</file>